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2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Ex3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Ex4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Ex5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Ex6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Ex7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ink/ink1.xml" ContentType="application/inkml+xml"/>
  <Override PartName="/xl/ink/ink2.xml" ContentType="application/inkml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Ali\DOC\UNI\Yazduni_992\PP\3992\"/>
    </mc:Choice>
  </mc:AlternateContent>
  <xr:revisionPtr revIDLastSave="0" documentId="13_ncr:1_{1881DB0A-B09A-4416-8D29-6B6D160AC82E}" xr6:coauthVersionLast="47" xr6:coauthVersionMax="47" xr10:uidLastSave="{00000000-0000-0000-0000-000000000000}"/>
  <bookViews>
    <workbookView xWindow="-120" yWindow="330" windowWidth="24240" windowHeight="13290" tabRatio="806" firstSheet="1" activeTab="9" xr2:uid="{00000000-000D-0000-FFFF-FFFF00000000}"/>
  </bookViews>
  <sheets>
    <sheet name="Sheet1" sheetId="1" state="hidden" r:id="rId1"/>
    <sheet name="HOME" sheetId="10" r:id="rId2"/>
    <sheet name="Mixed Chase" sheetId="2" r:id="rId3"/>
    <sheet name="Level" sheetId="5" r:id="rId4"/>
    <sheet name="Hybrid 1" sheetId="7" r:id="rId5"/>
    <sheet name="Hybrid 2" sheetId="6" r:id="rId6"/>
    <sheet name="Workers Strategy" sheetId="8" r:id="rId7"/>
    <sheet name="Inventory Strategy" sheetId="9" r:id="rId8"/>
    <sheet name="Lingo" sheetId="11" r:id="rId9"/>
    <sheet name="Result" sheetId="12" r:id="rId10"/>
    <sheet name="تولید یکنواخت" sheetId="3" state="hidden" r:id="rId11"/>
    <sheet name="Sheet2" sheetId="4" state="hidden" r:id="rId12"/>
  </sheets>
  <definedNames>
    <definedName name="_xlchart.v1.0" hidden="1">('Mixed Chase'!$E$24:$G$24,'Mixed Chase'!$J$24)</definedName>
    <definedName name="_xlchart.v1.1" hidden="1">('Mixed Chase'!$E$8:$G$10,'Mixed Chase'!$J$8:$J$10)</definedName>
    <definedName name="_xlchart.v1.10" hidden="1">('Inventory Strategy'!$E$24:$G$24,'Inventory Strategy'!$J$24)</definedName>
    <definedName name="_xlchart.v1.11" hidden="1">('Inventory Strategy'!$E$8:$G$10,'Inventory Strategy'!$J$8:$J$10)</definedName>
    <definedName name="_xlchart.v1.12" hidden="1">Lingo!$E$24:$G$24,Lingo!$J$24</definedName>
    <definedName name="_xlchart.v1.13" hidden="1">Lingo!$E$8:$G$10,Lingo!$J$8:$J$10</definedName>
    <definedName name="_xlchart.v1.2" hidden="1">(Level!$E$24:$G$24,Level!$J$24)</definedName>
    <definedName name="_xlchart.v1.3" hidden="1">(Level!$E$8:$G$10,Level!$J$8:$J$10)</definedName>
    <definedName name="_xlchart.v1.4" hidden="1">('Hybrid 1'!$E$24:$G$24,'Hybrid 1'!$J$24)</definedName>
    <definedName name="_xlchart.v1.5" hidden="1">('Hybrid 1'!$E$8:$G$10,'Hybrid 1'!$J$8:$J$10)</definedName>
    <definedName name="_xlchart.v1.6" hidden="1">('Hybrid 2'!$E$24:$G$24,'Hybrid 2'!$J$24)</definedName>
    <definedName name="_xlchart.v1.7" hidden="1">('Hybrid 2'!$E$8:$G$10,'Hybrid 2'!$J$8:$J$10)</definedName>
    <definedName name="_xlchart.v1.8" hidden="1">('Workers Strategy'!$E$24:$G$24,'Workers Strategy'!$J$24)</definedName>
    <definedName name="_xlchart.v1.9" hidden="1">('Workers Strategy'!$E$8:$G$10,'Workers Strategy'!$J$8:$J$10)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4" i="11" l="1"/>
  <c r="X24" i="11"/>
  <c r="W24" i="11"/>
  <c r="E28" i="11" s="1"/>
  <c r="V23" i="11"/>
  <c r="S23" i="11" s="1"/>
  <c r="Q23" i="11"/>
  <c r="P23" i="11"/>
  <c r="N23" i="11" s="1"/>
  <c r="I23" i="11"/>
  <c r="H23" i="11"/>
  <c r="G23" i="11"/>
  <c r="V22" i="11"/>
  <c r="S22" i="11" s="1"/>
  <c r="Q22" i="11"/>
  <c r="P22" i="11"/>
  <c r="I22" i="11"/>
  <c r="H22" i="11"/>
  <c r="G22" i="11" s="1"/>
  <c r="V21" i="11"/>
  <c r="S21" i="11" s="1"/>
  <c r="Q21" i="11"/>
  <c r="P21" i="11"/>
  <c r="N21" i="11"/>
  <c r="I21" i="11"/>
  <c r="H21" i="11"/>
  <c r="G21" i="11" s="1"/>
  <c r="V20" i="11"/>
  <c r="S20" i="11"/>
  <c r="Q20" i="11"/>
  <c r="P20" i="11"/>
  <c r="I20" i="11"/>
  <c r="H20" i="11"/>
  <c r="G20" i="11"/>
  <c r="V19" i="11"/>
  <c r="Q19" i="11"/>
  <c r="P19" i="11"/>
  <c r="N19" i="11" s="1"/>
  <c r="I19" i="11"/>
  <c r="H19" i="11"/>
  <c r="G19" i="11" s="1"/>
  <c r="V18" i="11"/>
  <c r="S18" i="11" s="1"/>
  <c r="Q18" i="11"/>
  <c r="P18" i="11"/>
  <c r="N18" i="11" s="1"/>
  <c r="I18" i="11"/>
  <c r="H18" i="11"/>
  <c r="G18" i="11" s="1"/>
  <c r="V17" i="11"/>
  <c r="S17" i="11" s="1"/>
  <c r="Q17" i="11"/>
  <c r="P17" i="11"/>
  <c r="I17" i="11"/>
  <c r="H17" i="11"/>
  <c r="G17" i="11" s="1"/>
  <c r="V16" i="11"/>
  <c r="S16" i="11" s="1"/>
  <c r="Q16" i="11"/>
  <c r="P16" i="11"/>
  <c r="I16" i="11"/>
  <c r="H16" i="11"/>
  <c r="G16" i="11" s="1"/>
  <c r="V15" i="11"/>
  <c r="S15" i="11" s="1"/>
  <c r="Q15" i="11"/>
  <c r="P15" i="11"/>
  <c r="I15" i="11"/>
  <c r="H15" i="11"/>
  <c r="G15" i="11" s="1"/>
  <c r="V14" i="11"/>
  <c r="S14" i="11" s="1"/>
  <c r="Q14" i="11"/>
  <c r="P14" i="11"/>
  <c r="I14" i="11"/>
  <c r="H14" i="11"/>
  <c r="G14" i="11" s="1"/>
  <c r="V13" i="11"/>
  <c r="S13" i="11" s="1"/>
  <c r="Q13" i="11"/>
  <c r="N13" i="11" s="1"/>
  <c r="P13" i="11"/>
  <c r="I13" i="11"/>
  <c r="H13" i="11"/>
  <c r="G13" i="11" s="1"/>
  <c r="Y12" i="11"/>
  <c r="U23" i="11" s="1"/>
  <c r="V12" i="11"/>
  <c r="S12" i="11" s="1"/>
  <c r="U12" i="11"/>
  <c r="Y13" i="11" s="1"/>
  <c r="T12" i="11"/>
  <c r="Q12" i="11"/>
  <c r="P12" i="11"/>
  <c r="H12" i="11"/>
  <c r="G12" i="11" s="1"/>
  <c r="W11" i="11"/>
  <c r="I12" i="11" s="1"/>
  <c r="C10" i="11"/>
  <c r="A1" i="11"/>
  <c r="A1" i="9"/>
  <c r="A1" i="8"/>
  <c r="A1" i="7"/>
  <c r="A1" i="6"/>
  <c r="A1" i="5"/>
  <c r="A1" i="2"/>
  <c r="N17" i="11" l="1"/>
  <c r="K19" i="11"/>
  <c r="J19" i="11" s="1"/>
  <c r="N20" i="11"/>
  <c r="U13" i="11"/>
  <c r="Y14" i="11" s="1"/>
  <c r="L12" i="11"/>
  <c r="K13" i="11"/>
  <c r="J13" i="11" s="1"/>
  <c r="K12" i="11"/>
  <c r="J12" i="11" s="1"/>
  <c r="M13" i="11"/>
  <c r="K23" i="11"/>
  <c r="J23" i="11" s="1"/>
  <c r="K22" i="11"/>
  <c r="J22" i="11" s="1"/>
  <c r="L22" i="11"/>
  <c r="F22" i="11" s="1"/>
  <c r="L21" i="11"/>
  <c r="K21" i="11"/>
  <c r="J21" i="11" s="1"/>
  <c r="M20" i="11"/>
  <c r="K18" i="11"/>
  <c r="J18" i="11" s="1"/>
  <c r="K17" i="11"/>
  <c r="J17" i="11" s="1"/>
  <c r="M17" i="11"/>
  <c r="K16" i="11"/>
  <c r="J16" i="11" s="1"/>
  <c r="K15" i="11"/>
  <c r="J15" i="11" s="1"/>
  <c r="K14" i="11"/>
  <c r="E12" i="11"/>
  <c r="L16" i="11"/>
  <c r="F16" i="11" s="1"/>
  <c r="L17" i="11"/>
  <c r="F17" i="11" s="1"/>
  <c r="L19" i="11"/>
  <c r="F19" i="11" s="1"/>
  <c r="K20" i="11"/>
  <c r="J20" i="11" s="1"/>
  <c r="L20" i="11"/>
  <c r="F20" i="11" s="1"/>
  <c r="F21" i="11"/>
  <c r="M21" i="11"/>
  <c r="L18" i="11"/>
  <c r="F18" i="11" s="1"/>
  <c r="N15" i="11"/>
  <c r="N16" i="11"/>
  <c r="L13" i="11"/>
  <c r="F13" i="11" s="1"/>
  <c r="N12" i="11"/>
  <c r="J14" i="11"/>
  <c r="F12" i="11"/>
  <c r="G24" i="11"/>
  <c r="E12" i="12" s="1"/>
  <c r="T13" i="11"/>
  <c r="M14" i="11"/>
  <c r="M19" i="11"/>
  <c r="S19" i="11"/>
  <c r="N22" i="11"/>
  <c r="M23" i="11"/>
  <c r="L14" i="11"/>
  <c r="F14" i="11" s="1"/>
  <c r="L15" i="11"/>
  <c r="F15" i="11" s="1"/>
  <c r="M18" i="11"/>
  <c r="M22" i="11"/>
  <c r="L23" i="11"/>
  <c r="F23" i="11" s="1"/>
  <c r="N14" i="11"/>
  <c r="M15" i="11"/>
  <c r="M12" i="11"/>
  <c r="M16" i="11"/>
  <c r="Z24" i="9"/>
  <c r="X24" i="9"/>
  <c r="W24" i="9"/>
  <c r="E28" i="9" s="1"/>
  <c r="V23" i="9"/>
  <c r="S23" i="9" s="1"/>
  <c r="Q23" i="9"/>
  <c r="P23" i="9"/>
  <c r="I23" i="9"/>
  <c r="H23" i="9"/>
  <c r="G23" i="9" s="1"/>
  <c r="V22" i="9"/>
  <c r="S22" i="9" s="1"/>
  <c r="Q22" i="9"/>
  <c r="P22" i="9"/>
  <c r="I22" i="9"/>
  <c r="H22" i="9"/>
  <c r="G22" i="9" s="1"/>
  <c r="V21" i="9"/>
  <c r="S21" i="9" s="1"/>
  <c r="Q21" i="9"/>
  <c r="P21" i="9"/>
  <c r="I21" i="9"/>
  <c r="H21" i="9"/>
  <c r="G21" i="9" s="1"/>
  <c r="V20" i="9"/>
  <c r="S20" i="9" s="1"/>
  <c r="Q20" i="9"/>
  <c r="P20" i="9"/>
  <c r="I20" i="9"/>
  <c r="H20" i="9"/>
  <c r="G20" i="9" s="1"/>
  <c r="V19" i="9"/>
  <c r="S19" i="9" s="1"/>
  <c r="Q19" i="9"/>
  <c r="P19" i="9"/>
  <c r="I19" i="9"/>
  <c r="H19" i="9"/>
  <c r="G19" i="9" s="1"/>
  <c r="V18" i="9"/>
  <c r="Q18" i="9"/>
  <c r="P18" i="9"/>
  <c r="I18" i="9"/>
  <c r="H18" i="9"/>
  <c r="G18" i="9" s="1"/>
  <c r="V17" i="9"/>
  <c r="S17" i="9" s="1"/>
  <c r="Q17" i="9"/>
  <c r="P17" i="9"/>
  <c r="I17" i="9"/>
  <c r="H17" i="9"/>
  <c r="G17" i="9" s="1"/>
  <c r="V16" i="9"/>
  <c r="S16" i="9" s="1"/>
  <c r="Q16" i="9"/>
  <c r="P16" i="9"/>
  <c r="I16" i="9"/>
  <c r="H16" i="9"/>
  <c r="G16" i="9" s="1"/>
  <c r="V15" i="9"/>
  <c r="Q15" i="9"/>
  <c r="P15" i="9"/>
  <c r="I15" i="9"/>
  <c r="H15" i="9"/>
  <c r="G15" i="9" s="1"/>
  <c r="V14" i="9"/>
  <c r="S14" i="9" s="1"/>
  <c r="Q14" i="9"/>
  <c r="P14" i="9"/>
  <c r="I14" i="9"/>
  <c r="H14" i="9"/>
  <c r="G14" i="9" s="1"/>
  <c r="V13" i="9"/>
  <c r="Q13" i="9"/>
  <c r="P13" i="9"/>
  <c r="I13" i="9"/>
  <c r="H13" i="9"/>
  <c r="G13" i="9" s="1"/>
  <c r="Y12" i="9"/>
  <c r="U23" i="9" s="1"/>
  <c r="V12" i="9"/>
  <c r="S12" i="9" s="1"/>
  <c r="U12" i="9"/>
  <c r="Y13" i="9" s="1"/>
  <c r="T12" i="9"/>
  <c r="Q12" i="9"/>
  <c r="P12" i="9"/>
  <c r="H12" i="9"/>
  <c r="G12" i="9" s="1"/>
  <c r="W11" i="9"/>
  <c r="I12" i="9" s="1"/>
  <c r="C10" i="9"/>
  <c r="E13" i="11" l="1"/>
  <c r="N23" i="9"/>
  <c r="K24" i="11"/>
  <c r="L24" i="11"/>
  <c r="M24" i="11"/>
  <c r="T14" i="11"/>
  <c r="U14" i="11"/>
  <c r="Y15" i="11" s="1"/>
  <c r="J24" i="11"/>
  <c r="F12" i="12" s="1"/>
  <c r="F24" i="11"/>
  <c r="D12" i="12" s="1"/>
  <c r="N12" i="9"/>
  <c r="N21" i="9"/>
  <c r="N17" i="9"/>
  <c r="N16" i="9"/>
  <c r="N14" i="9"/>
  <c r="L18" i="9"/>
  <c r="F18" i="9" s="1"/>
  <c r="N18" i="9"/>
  <c r="N22" i="9"/>
  <c r="N15" i="9"/>
  <c r="M17" i="9"/>
  <c r="K18" i="9"/>
  <c r="J18" i="9" s="1"/>
  <c r="K14" i="9"/>
  <c r="J14" i="9" s="1"/>
  <c r="U13" i="9"/>
  <c r="Y14" i="9" s="1"/>
  <c r="S18" i="9"/>
  <c r="M22" i="9"/>
  <c r="M21" i="9"/>
  <c r="M12" i="9"/>
  <c r="E12" i="9"/>
  <c r="M20" i="9"/>
  <c r="M14" i="9"/>
  <c r="K19" i="9"/>
  <c r="J19" i="9" s="1"/>
  <c r="L23" i="9"/>
  <c r="F23" i="9" s="1"/>
  <c r="K23" i="9"/>
  <c r="J23" i="9" s="1"/>
  <c r="M13" i="9"/>
  <c r="N20" i="9"/>
  <c r="K21" i="9"/>
  <c r="J21" i="9" s="1"/>
  <c r="L16" i="9"/>
  <c r="F16" i="9" s="1"/>
  <c r="K15" i="9"/>
  <c r="J15" i="9" s="1"/>
  <c r="L17" i="9"/>
  <c r="F17" i="9" s="1"/>
  <c r="K13" i="9"/>
  <c r="J13" i="9" s="1"/>
  <c r="M19" i="9"/>
  <c r="G24" i="9"/>
  <c r="E11" i="12" s="1"/>
  <c r="M18" i="9"/>
  <c r="K16" i="9"/>
  <c r="J16" i="9" s="1"/>
  <c r="L22" i="9"/>
  <c r="F22" i="9" s="1"/>
  <c r="N13" i="9"/>
  <c r="L14" i="9"/>
  <c r="F14" i="9" s="1"/>
  <c r="K17" i="9"/>
  <c r="J17" i="9" s="1"/>
  <c r="N19" i="9"/>
  <c r="S13" i="9"/>
  <c r="M23" i="9"/>
  <c r="M16" i="9"/>
  <c r="L15" i="9"/>
  <c r="F15" i="9" s="1"/>
  <c r="L19" i="9"/>
  <c r="F19" i="9" s="1"/>
  <c r="K20" i="9"/>
  <c r="J20" i="9" s="1"/>
  <c r="T13" i="9"/>
  <c r="L12" i="9"/>
  <c r="S15" i="9"/>
  <c r="L20" i="9"/>
  <c r="F20" i="9" s="1"/>
  <c r="M15" i="9"/>
  <c r="K12" i="9"/>
  <c r="L13" i="9"/>
  <c r="F13" i="9" s="1"/>
  <c r="L21" i="9"/>
  <c r="F21" i="9" s="1"/>
  <c r="K22" i="9"/>
  <c r="J22" i="9" s="1"/>
  <c r="Y25" i="8"/>
  <c r="Z24" i="8"/>
  <c r="X24" i="8"/>
  <c r="W11" i="8" s="1"/>
  <c r="I12" i="8" s="1"/>
  <c r="W24" i="8"/>
  <c r="E28" i="8" s="1"/>
  <c r="V23" i="8"/>
  <c r="Q23" i="8"/>
  <c r="P23" i="8"/>
  <c r="I23" i="8"/>
  <c r="H23" i="8"/>
  <c r="G23" i="8" s="1"/>
  <c r="V22" i="8"/>
  <c r="Q22" i="8"/>
  <c r="P22" i="8"/>
  <c r="I22" i="8"/>
  <c r="H22" i="8"/>
  <c r="G22" i="8" s="1"/>
  <c r="V21" i="8"/>
  <c r="S21" i="8" s="1"/>
  <c r="Q21" i="8"/>
  <c r="P21" i="8"/>
  <c r="I21" i="8"/>
  <c r="H21" i="8"/>
  <c r="G21" i="8" s="1"/>
  <c r="V20" i="8"/>
  <c r="Q20" i="8"/>
  <c r="P20" i="8"/>
  <c r="I20" i="8"/>
  <c r="H20" i="8"/>
  <c r="G20" i="8" s="1"/>
  <c r="V19" i="8"/>
  <c r="S19" i="8" s="1"/>
  <c r="Q19" i="8"/>
  <c r="P19" i="8"/>
  <c r="I19" i="8"/>
  <c r="H19" i="8"/>
  <c r="G19" i="8" s="1"/>
  <c r="V18" i="8"/>
  <c r="S18" i="8" s="1"/>
  <c r="Q18" i="8"/>
  <c r="P18" i="8"/>
  <c r="I18" i="8"/>
  <c r="H18" i="8"/>
  <c r="G18" i="8" s="1"/>
  <c r="V17" i="8"/>
  <c r="S17" i="8" s="1"/>
  <c r="Q17" i="8"/>
  <c r="P17" i="8"/>
  <c r="I17" i="8"/>
  <c r="H17" i="8"/>
  <c r="G17" i="8" s="1"/>
  <c r="V16" i="8"/>
  <c r="S16" i="8" s="1"/>
  <c r="Q16" i="8"/>
  <c r="P16" i="8"/>
  <c r="I16" i="8"/>
  <c r="H16" i="8"/>
  <c r="G16" i="8" s="1"/>
  <c r="V15" i="8"/>
  <c r="Q15" i="8"/>
  <c r="P15" i="8"/>
  <c r="I15" i="8"/>
  <c r="H15" i="8"/>
  <c r="G15" i="8" s="1"/>
  <c r="V14" i="8"/>
  <c r="Q14" i="8"/>
  <c r="P14" i="8"/>
  <c r="I14" i="8"/>
  <c r="H14" i="8"/>
  <c r="G14" i="8" s="1"/>
  <c r="V13" i="8"/>
  <c r="Q13" i="8"/>
  <c r="P13" i="8"/>
  <c r="I13" i="8"/>
  <c r="H13" i="8"/>
  <c r="G13" i="8" s="1"/>
  <c r="Y12" i="8"/>
  <c r="U12" i="8" s="1"/>
  <c r="Y13" i="8" s="1"/>
  <c r="V12" i="8"/>
  <c r="Q12" i="8"/>
  <c r="P12" i="8"/>
  <c r="N12" i="8" s="1"/>
  <c r="C10" i="8"/>
  <c r="Y25" i="7"/>
  <c r="Z24" i="7"/>
  <c r="X24" i="7"/>
  <c r="W24" i="7"/>
  <c r="E28" i="7" s="1"/>
  <c r="V23" i="7"/>
  <c r="S23" i="7" s="1"/>
  <c r="Q23" i="7"/>
  <c r="P23" i="7"/>
  <c r="I23" i="7"/>
  <c r="H23" i="7"/>
  <c r="G23" i="7" s="1"/>
  <c r="V22" i="7"/>
  <c r="S22" i="7" s="1"/>
  <c r="Q22" i="7"/>
  <c r="P22" i="7"/>
  <c r="I22" i="7"/>
  <c r="H22" i="7"/>
  <c r="G22" i="7" s="1"/>
  <c r="V21" i="7"/>
  <c r="Q21" i="7"/>
  <c r="P21" i="7"/>
  <c r="I21" i="7"/>
  <c r="H21" i="7"/>
  <c r="G21" i="7" s="1"/>
  <c r="V20" i="7"/>
  <c r="Q20" i="7"/>
  <c r="P20" i="7"/>
  <c r="I20" i="7"/>
  <c r="H20" i="7"/>
  <c r="G20" i="7" s="1"/>
  <c r="V19" i="7"/>
  <c r="Q19" i="7"/>
  <c r="P19" i="7"/>
  <c r="I19" i="7"/>
  <c r="H19" i="7"/>
  <c r="G19" i="7" s="1"/>
  <c r="V18" i="7"/>
  <c r="S18" i="7" s="1"/>
  <c r="Q18" i="7"/>
  <c r="P18" i="7"/>
  <c r="I18" i="7"/>
  <c r="H18" i="7"/>
  <c r="G18" i="7" s="1"/>
  <c r="V17" i="7"/>
  <c r="S17" i="7" s="1"/>
  <c r="Q17" i="7"/>
  <c r="P17" i="7"/>
  <c r="I17" i="7"/>
  <c r="H17" i="7"/>
  <c r="G17" i="7" s="1"/>
  <c r="V16" i="7"/>
  <c r="S16" i="7" s="1"/>
  <c r="Q16" i="7"/>
  <c r="P16" i="7"/>
  <c r="I16" i="7"/>
  <c r="H16" i="7"/>
  <c r="G16" i="7" s="1"/>
  <c r="V15" i="7"/>
  <c r="S15" i="7" s="1"/>
  <c r="Q15" i="7"/>
  <c r="P15" i="7"/>
  <c r="I15" i="7"/>
  <c r="H15" i="7"/>
  <c r="G15" i="7" s="1"/>
  <c r="V14" i="7"/>
  <c r="S14" i="7" s="1"/>
  <c r="Q14" i="7"/>
  <c r="P14" i="7"/>
  <c r="I14" i="7"/>
  <c r="H14" i="7"/>
  <c r="G14" i="7" s="1"/>
  <c r="V13" i="7"/>
  <c r="S13" i="7" s="1"/>
  <c r="Q13" i="7"/>
  <c r="P13" i="7"/>
  <c r="I13" i="7"/>
  <c r="H13" i="7"/>
  <c r="G13" i="7" s="1"/>
  <c r="Y12" i="7"/>
  <c r="U23" i="7" s="1"/>
  <c r="V12" i="7"/>
  <c r="S12" i="7" s="1"/>
  <c r="Q12" i="7"/>
  <c r="P12" i="7"/>
  <c r="W11" i="7"/>
  <c r="I12" i="7" s="1"/>
  <c r="C10" i="7"/>
  <c r="Q12" i="6"/>
  <c r="W24" i="6"/>
  <c r="E28" i="6" s="1"/>
  <c r="P16" i="6"/>
  <c r="Q16" i="6"/>
  <c r="V12" i="6"/>
  <c r="S12" i="6" s="1"/>
  <c r="C10" i="5"/>
  <c r="C10" i="6"/>
  <c r="P12" i="6"/>
  <c r="Y25" i="6"/>
  <c r="Z24" i="6"/>
  <c r="X24" i="6"/>
  <c r="W11" i="6" s="1"/>
  <c r="Q23" i="6"/>
  <c r="P23" i="6"/>
  <c r="H23" i="6"/>
  <c r="G23" i="6" s="1"/>
  <c r="Q22" i="6"/>
  <c r="P22" i="6"/>
  <c r="H22" i="6"/>
  <c r="G22" i="6" s="1"/>
  <c r="Q21" i="6"/>
  <c r="P21" i="6"/>
  <c r="H21" i="6"/>
  <c r="G21" i="6" s="1"/>
  <c r="Q20" i="6"/>
  <c r="P20" i="6"/>
  <c r="H20" i="6"/>
  <c r="G20" i="6" s="1"/>
  <c r="Q19" i="6"/>
  <c r="P19" i="6"/>
  <c r="H19" i="6"/>
  <c r="G19" i="6" s="1"/>
  <c r="Q18" i="6"/>
  <c r="P18" i="6"/>
  <c r="H18" i="6"/>
  <c r="G18" i="6" s="1"/>
  <c r="Q17" i="6"/>
  <c r="P17" i="6"/>
  <c r="H17" i="6"/>
  <c r="G17" i="6" s="1"/>
  <c r="H16" i="6"/>
  <c r="G16" i="6" s="1"/>
  <c r="Q15" i="6"/>
  <c r="P15" i="6"/>
  <c r="H15" i="6"/>
  <c r="G15" i="6" s="1"/>
  <c r="Q14" i="6"/>
  <c r="P14" i="6"/>
  <c r="H14" i="6"/>
  <c r="G14" i="6" s="1"/>
  <c r="Q13" i="6"/>
  <c r="P13" i="6"/>
  <c r="H13" i="6"/>
  <c r="G13" i="6" s="1"/>
  <c r="Y12" i="6"/>
  <c r="U23" i="6" s="1"/>
  <c r="Y25" i="5"/>
  <c r="Z24" i="5"/>
  <c r="X24" i="5"/>
  <c r="Q23" i="5"/>
  <c r="P23" i="5"/>
  <c r="H23" i="5"/>
  <c r="G23" i="5" s="1"/>
  <c r="Q22" i="5"/>
  <c r="P22" i="5"/>
  <c r="N22" i="5" s="1"/>
  <c r="H22" i="5"/>
  <c r="G22" i="5" s="1"/>
  <c r="Q21" i="5"/>
  <c r="P21" i="5"/>
  <c r="H21" i="5"/>
  <c r="G21" i="5" s="1"/>
  <c r="Q20" i="5"/>
  <c r="N20" i="5" s="1"/>
  <c r="P20" i="5"/>
  <c r="H20" i="5"/>
  <c r="G20" i="5" s="1"/>
  <c r="Q19" i="5"/>
  <c r="P19" i="5"/>
  <c r="H19" i="5"/>
  <c r="G19" i="5" s="1"/>
  <c r="Q18" i="5"/>
  <c r="P18" i="5"/>
  <c r="H18" i="5"/>
  <c r="G18" i="5" s="1"/>
  <c r="Q17" i="5"/>
  <c r="P17" i="5"/>
  <c r="H17" i="5"/>
  <c r="G17" i="5" s="1"/>
  <c r="Q16" i="5"/>
  <c r="P16" i="5"/>
  <c r="H16" i="5"/>
  <c r="G16" i="5" s="1"/>
  <c r="Q15" i="5"/>
  <c r="P15" i="5"/>
  <c r="N15" i="5" s="1"/>
  <c r="H15" i="5"/>
  <c r="G15" i="5" s="1"/>
  <c r="Q14" i="5"/>
  <c r="P14" i="5"/>
  <c r="H14" i="5"/>
  <c r="G14" i="5" s="1"/>
  <c r="Q13" i="5"/>
  <c r="P13" i="5"/>
  <c r="H13" i="5"/>
  <c r="G13" i="5"/>
  <c r="Y12" i="5"/>
  <c r="U23" i="5" s="1"/>
  <c r="Q12" i="5"/>
  <c r="N12" i="5" s="1"/>
  <c r="P12" i="5"/>
  <c r="W11" i="5"/>
  <c r="N17" i="5" l="1"/>
  <c r="N21" i="5"/>
  <c r="U23" i="8"/>
  <c r="N22" i="8"/>
  <c r="T15" i="11"/>
  <c r="U15" i="11"/>
  <c r="Y16" i="11" s="1"/>
  <c r="E14" i="11"/>
  <c r="N23" i="8"/>
  <c r="N13" i="5"/>
  <c r="N23" i="5"/>
  <c r="U12" i="7"/>
  <c r="Y13" i="7" s="1"/>
  <c r="T12" i="8"/>
  <c r="E13" i="9"/>
  <c r="U14" i="9"/>
  <c r="Y15" i="9" s="1"/>
  <c r="L24" i="9"/>
  <c r="J12" i="9"/>
  <c r="M24" i="9"/>
  <c r="F12" i="9"/>
  <c r="F24" i="9" s="1"/>
  <c r="D11" i="12" s="1"/>
  <c r="T14" i="9"/>
  <c r="N19" i="8"/>
  <c r="N21" i="8"/>
  <c r="M17" i="8"/>
  <c r="K23" i="8"/>
  <c r="J23" i="8" s="1"/>
  <c r="M21" i="8"/>
  <c r="L20" i="8"/>
  <c r="F20" i="8" s="1"/>
  <c r="M19" i="8"/>
  <c r="K19" i="8"/>
  <c r="J19" i="8" s="1"/>
  <c r="K14" i="8"/>
  <c r="J14" i="8" s="1"/>
  <c r="K17" i="8"/>
  <c r="J17" i="8" s="1"/>
  <c r="L16" i="8"/>
  <c r="F16" i="8" s="1"/>
  <c r="N20" i="8"/>
  <c r="N14" i="8"/>
  <c r="M15" i="8"/>
  <c r="L22" i="8"/>
  <c r="F22" i="8" s="1"/>
  <c r="N13" i="8"/>
  <c r="N17" i="8"/>
  <c r="L12" i="8"/>
  <c r="F12" i="8" s="1"/>
  <c r="N18" i="8"/>
  <c r="M20" i="8"/>
  <c r="M22" i="8"/>
  <c r="M13" i="8"/>
  <c r="M23" i="8"/>
  <c r="M14" i="8"/>
  <c r="M12" i="8"/>
  <c r="K21" i="8"/>
  <c r="J21" i="8" s="1"/>
  <c r="E12" i="8"/>
  <c r="K15" i="8"/>
  <c r="J15" i="8" s="1"/>
  <c r="L13" i="8"/>
  <c r="F13" i="8" s="1"/>
  <c r="S15" i="8"/>
  <c r="S23" i="8"/>
  <c r="S13" i="8"/>
  <c r="K13" i="8"/>
  <c r="J13" i="8" s="1"/>
  <c r="K20" i="8"/>
  <c r="J20" i="8" s="1"/>
  <c r="L21" i="8"/>
  <c r="F21" i="8" s="1"/>
  <c r="K12" i="8"/>
  <c r="J12" i="8" s="1"/>
  <c r="L15" i="8"/>
  <c r="F15" i="8" s="1"/>
  <c r="K16" i="8"/>
  <c r="J16" i="8" s="1"/>
  <c r="K22" i="8"/>
  <c r="J22" i="8" s="1"/>
  <c r="L23" i="8"/>
  <c r="F23" i="8" s="1"/>
  <c r="U13" i="8"/>
  <c r="Y14" i="8" s="1"/>
  <c r="T13" i="8"/>
  <c r="S12" i="8"/>
  <c r="N15" i="8"/>
  <c r="M16" i="8"/>
  <c r="L17" i="8"/>
  <c r="F17" i="8" s="1"/>
  <c r="K18" i="8"/>
  <c r="J18" i="8" s="1"/>
  <c r="S20" i="8"/>
  <c r="L14" i="8"/>
  <c r="F14" i="8" s="1"/>
  <c r="N16" i="8"/>
  <c r="L18" i="8"/>
  <c r="F18" i="8" s="1"/>
  <c r="S14" i="8"/>
  <c r="M18" i="8"/>
  <c r="L19" i="8"/>
  <c r="F19" i="8" s="1"/>
  <c r="S22" i="8"/>
  <c r="N20" i="7"/>
  <c r="N18" i="7"/>
  <c r="N16" i="7"/>
  <c r="N19" i="7"/>
  <c r="N22" i="7"/>
  <c r="N17" i="7"/>
  <c r="N21" i="7"/>
  <c r="M21" i="7"/>
  <c r="M20" i="7"/>
  <c r="M19" i="7"/>
  <c r="N14" i="7"/>
  <c r="M13" i="7"/>
  <c r="N13" i="7"/>
  <c r="M12" i="7"/>
  <c r="N12" i="7"/>
  <c r="M22" i="7"/>
  <c r="M23" i="7"/>
  <c r="L23" i="7"/>
  <c r="F23" i="7" s="1"/>
  <c r="K21" i="7"/>
  <c r="J21" i="7" s="1"/>
  <c r="L21" i="7"/>
  <c r="F21" i="7" s="1"/>
  <c r="S21" i="7"/>
  <c r="L20" i="7"/>
  <c r="F20" i="7" s="1"/>
  <c r="L19" i="7"/>
  <c r="F19" i="7" s="1"/>
  <c r="S19" i="7"/>
  <c r="K18" i="7"/>
  <c r="J18" i="7" s="1"/>
  <c r="L18" i="7"/>
  <c r="F18" i="7" s="1"/>
  <c r="M18" i="7"/>
  <c r="K17" i="7"/>
  <c r="J17" i="7" s="1"/>
  <c r="L17" i="7"/>
  <c r="F17" i="7" s="1"/>
  <c r="M14" i="7"/>
  <c r="L12" i="7"/>
  <c r="F12" i="7" s="1"/>
  <c r="L16" i="7"/>
  <c r="F16" i="7" s="1"/>
  <c r="K16" i="7"/>
  <c r="J16" i="7" s="1"/>
  <c r="M15" i="7"/>
  <c r="L15" i="7"/>
  <c r="F15" i="7" s="1"/>
  <c r="L13" i="7"/>
  <c r="F13" i="7" s="1"/>
  <c r="N15" i="7"/>
  <c r="M16" i="7"/>
  <c r="S20" i="7"/>
  <c r="N23" i="7"/>
  <c r="T12" i="7"/>
  <c r="E12" i="7" s="1"/>
  <c r="M17" i="7"/>
  <c r="K19" i="7"/>
  <c r="J19" i="7" s="1"/>
  <c r="K12" i="7"/>
  <c r="K13" i="7"/>
  <c r="J13" i="7" s="1"/>
  <c r="K14" i="7"/>
  <c r="J14" i="7" s="1"/>
  <c r="K22" i="7"/>
  <c r="J22" i="7" s="1"/>
  <c r="K20" i="7"/>
  <c r="J20" i="7" s="1"/>
  <c r="L14" i="7"/>
  <c r="F14" i="7" s="1"/>
  <c r="K15" i="7"/>
  <c r="J15" i="7" s="1"/>
  <c r="L22" i="7"/>
  <c r="F22" i="7" s="1"/>
  <c r="K23" i="7"/>
  <c r="J23" i="7" s="1"/>
  <c r="N16" i="6"/>
  <c r="N16" i="5"/>
  <c r="N18" i="5"/>
  <c r="N20" i="6"/>
  <c r="N22" i="6"/>
  <c r="N18" i="6"/>
  <c r="N19" i="6"/>
  <c r="N23" i="6"/>
  <c r="N21" i="6"/>
  <c r="N17" i="6"/>
  <c r="N12" i="6"/>
  <c r="N15" i="6"/>
  <c r="N14" i="6"/>
  <c r="N13" i="6"/>
  <c r="U12" i="6"/>
  <c r="Y13" i="6" s="1"/>
  <c r="I12" i="6"/>
  <c r="T12" i="6"/>
  <c r="N19" i="5"/>
  <c r="N14" i="5"/>
  <c r="V12" i="5"/>
  <c r="U12" i="5"/>
  <c r="Y13" i="5" s="1"/>
  <c r="T12" i="5"/>
  <c r="I12" i="5"/>
  <c r="X24" i="2"/>
  <c r="W11" i="2" s="1"/>
  <c r="Q13" i="2"/>
  <c r="Q12" i="2"/>
  <c r="Q21" i="2"/>
  <c r="Y25" i="2"/>
  <c r="Y12" i="2"/>
  <c r="H16" i="2"/>
  <c r="G16" i="2" s="1"/>
  <c r="Q14" i="2"/>
  <c r="Q15" i="2"/>
  <c r="Q16" i="2"/>
  <c r="Q17" i="2"/>
  <c r="Q18" i="2"/>
  <c r="Q19" i="2"/>
  <c r="Q20" i="2"/>
  <c r="Q22" i="2"/>
  <c r="Q23" i="2"/>
  <c r="P13" i="2"/>
  <c r="P14" i="2"/>
  <c r="P15" i="2"/>
  <c r="P16" i="2"/>
  <c r="P17" i="2"/>
  <c r="P18" i="2"/>
  <c r="P19" i="2"/>
  <c r="P20" i="2"/>
  <c r="P21" i="2"/>
  <c r="P22" i="2"/>
  <c r="P23" i="2"/>
  <c r="P12" i="2"/>
  <c r="C10" i="2"/>
  <c r="H13" i="2"/>
  <c r="G13" i="2" s="1"/>
  <c r="H14" i="2"/>
  <c r="G14" i="2" s="1"/>
  <c r="H15" i="2"/>
  <c r="G15" i="2" s="1"/>
  <c r="H17" i="2"/>
  <c r="G17" i="2" s="1"/>
  <c r="H18" i="2"/>
  <c r="G18" i="2" s="1"/>
  <c r="H19" i="2"/>
  <c r="G19" i="2" s="1"/>
  <c r="H20" i="2"/>
  <c r="G20" i="2" s="1"/>
  <c r="H21" i="2"/>
  <c r="G21" i="2" s="1"/>
  <c r="H22" i="2"/>
  <c r="G22" i="2" s="1"/>
  <c r="H23" i="2"/>
  <c r="G23" i="2" s="1"/>
  <c r="Z24" i="2"/>
  <c r="X24" i="3"/>
  <c r="O24" i="3" s="1"/>
  <c r="V24" i="3"/>
  <c r="U24" i="3"/>
  <c r="T23" i="3"/>
  <c r="M23" i="3" s="1"/>
  <c r="K23" i="3" s="1"/>
  <c r="O23" i="3"/>
  <c r="L23" i="3"/>
  <c r="J23" i="3" s="1"/>
  <c r="T22" i="3"/>
  <c r="M22" i="3" s="1"/>
  <c r="K22" i="3" s="1"/>
  <c r="O22" i="3"/>
  <c r="L22" i="3"/>
  <c r="J22" i="3" s="1"/>
  <c r="T21" i="3"/>
  <c r="M21" i="3" s="1"/>
  <c r="K21" i="3" s="1"/>
  <c r="O21" i="3"/>
  <c r="L21" i="3"/>
  <c r="J21" i="3" s="1"/>
  <c r="T20" i="3"/>
  <c r="M20" i="3" s="1"/>
  <c r="K20" i="3" s="1"/>
  <c r="O20" i="3"/>
  <c r="L20" i="3"/>
  <c r="J20" i="3" s="1"/>
  <c r="T19" i="3"/>
  <c r="M19" i="3" s="1"/>
  <c r="K19" i="3" s="1"/>
  <c r="O19" i="3"/>
  <c r="L19" i="3"/>
  <c r="J19" i="3" s="1"/>
  <c r="T18" i="3"/>
  <c r="M18" i="3" s="1"/>
  <c r="K18" i="3" s="1"/>
  <c r="O18" i="3"/>
  <c r="L18" i="3"/>
  <c r="J18" i="3" s="1"/>
  <c r="T17" i="3"/>
  <c r="M17" i="3" s="1"/>
  <c r="K17" i="3" s="1"/>
  <c r="O17" i="3"/>
  <c r="L17" i="3"/>
  <c r="J17" i="3" s="1"/>
  <c r="T16" i="3"/>
  <c r="M16" i="3" s="1"/>
  <c r="K16" i="3" s="1"/>
  <c r="O16" i="3"/>
  <c r="L16" i="3"/>
  <c r="J16" i="3" s="1"/>
  <c r="T15" i="3"/>
  <c r="M15" i="3" s="1"/>
  <c r="K15" i="3" s="1"/>
  <c r="O15" i="3"/>
  <c r="L15" i="3"/>
  <c r="J15" i="3" s="1"/>
  <c r="T14" i="3"/>
  <c r="M14" i="3" s="1"/>
  <c r="K14" i="3" s="1"/>
  <c r="O14" i="3"/>
  <c r="L14" i="3"/>
  <c r="J14" i="3" s="1"/>
  <c r="T13" i="3"/>
  <c r="M13" i="3" s="1"/>
  <c r="K13" i="3" s="1"/>
  <c r="O13" i="3"/>
  <c r="L13" i="3"/>
  <c r="J13" i="3" s="1"/>
  <c r="T12" i="3"/>
  <c r="N12" i="3" s="1"/>
  <c r="S12" i="3"/>
  <c r="W13" i="3" s="1"/>
  <c r="R12" i="3"/>
  <c r="G12" i="3" s="1"/>
  <c r="O12" i="3"/>
  <c r="L12" i="3"/>
  <c r="J12" i="3" s="1"/>
  <c r="Q11" i="3"/>
  <c r="O12" i="4"/>
  <c r="O13" i="4"/>
  <c r="O14" i="4"/>
  <c r="O15" i="4"/>
  <c r="O16" i="4"/>
  <c r="O17" i="4"/>
  <c r="O18" i="4"/>
  <c r="O19" i="4"/>
  <c r="O20" i="4"/>
  <c r="O21" i="4"/>
  <c r="O22" i="4"/>
  <c r="O23" i="4"/>
  <c r="L13" i="4"/>
  <c r="L14" i="4"/>
  <c r="L15" i="4"/>
  <c r="L16" i="4"/>
  <c r="L17" i="4"/>
  <c r="L18" i="4"/>
  <c r="L19" i="4"/>
  <c r="L20" i="4"/>
  <c r="L21" i="4"/>
  <c r="L22" i="4"/>
  <c r="L23" i="4"/>
  <c r="L12" i="4"/>
  <c r="I12" i="4" s="1"/>
  <c r="E15" i="11" l="1"/>
  <c r="U16" i="11"/>
  <c r="Y17" i="11" s="1"/>
  <c r="T16" i="11"/>
  <c r="U23" i="2"/>
  <c r="W12" i="2"/>
  <c r="E12" i="5"/>
  <c r="U15" i="9"/>
  <c r="Y16" i="9" s="1"/>
  <c r="T15" i="9"/>
  <c r="E14" i="9"/>
  <c r="K24" i="9"/>
  <c r="J24" i="9"/>
  <c r="F11" i="12" s="1"/>
  <c r="E13" i="8"/>
  <c r="F24" i="8"/>
  <c r="D10" i="12" s="1"/>
  <c r="H12" i="8"/>
  <c r="G12" i="8" s="1"/>
  <c r="G24" i="8" s="1"/>
  <c r="E10" i="12" s="1"/>
  <c r="M24" i="8"/>
  <c r="K24" i="8"/>
  <c r="J24" i="8"/>
  <c r="F10" i="12" s="1"/>
  <c r="L24" i="8"/>
  <c r="U14" i="8"/>
  <c r="Y15" i="8" s="1"/>
  <c r="T14" i="8"/>
  <c r="R11" i="7"/>
  <c r="H12" i="7" s="1"/>
  <c r="G12" i="7" s="1"/>
  <c r="G24" i="7" s="1"/>
  <c r="E8" i="12" s="1"/>
  <c r="F24" i="7"/>
  <c r="D8" i="12" s="1"/>
  <c r="M24" i="7"/>
  <c r="L24" i="7"/>
  <c r="J12" i="7"/>
  <c r="T13" i="7"/>
  <c r="U13" i="7"/>
  <c r="Y14" i="7" s="1"/>
  <c r="T13" i="6"/>
  <c r="K12" i="5"/>
  <c r="J12" i="5" s="1"/>
  <c r="S12" i="5"/>
  <c r="E12" i="6"/>
  <c r="L12" i="6"/>
  <c r="F12" i="6" s="1"/>
  <c r="M12" i="6"/>
  <c r="K12" i="6"/>
  <c r="T13" i="5"/>
  <c r="I13" i="5"/>
  <c r="U13" i="5"/>
  <c r="Y14" i="5" s="1"/>
  <c r="V13" i="5"/>
  <c r="M12" i="5"/>
  <c r="L12" i="5"/>
  <c r="N14" i="2"/>
  <c r="N17" i="2"/>
  <c r="N13" i="2"/>
  <c r="N20" i="2"/>
  <c r="N23" i="2"/>
  <c r="N12" i="2"/>
  <c r="N19" i="2"/>
  <c r="N15" i="2"/>
  <c r="N22" i="2"/>
  <c r="N21" i="2"/>
  <c r="N16" i="2"/>
  <c r="N18" i="2"/>
  <c r="I13" i="3"/>
  <c r="I14" i="3"/>
  <c r="I15" i="3"/>
  <c r="I16" i="3"/>
  <c r="I17" i="3"/>
  <c r="I18" i="3"/>
  <c r="I19" i="3"/>
  <c r="I20" i="3"/>
  <c r="I21" i="3"/>
  <c r="I22" i="3"/>
  <c r="I23" i="3"/>
  <c r="I12" i="3"/>
  <c r="Q12" i="3"/>
  <c r="N18" i="3"/>
  <c r="H18" i="3" s="1"/>
  <c r="N17" i="3"/>
  <c r="H17" i="3" s="1"/>
  <c r="N13" i="3"/>
  <c r="H13" i="3" s="1"/>
  <c r="N21" i="3"/>
  <c r="H21" i="3" s="1"/>
  <c r="N16" i="3"/>
  <c r="H16" i="3" s="1"/>
  <c r="N15" i="3"/>
  <c r="H15" i="3" s="1"/>
  <c r="N23" i="3"/>
  <c r="H23" i="3" s="1"/>
  <c r="N20" i="3"/>
  <c r="H20" i="3" s="1"/>
  <c r="T24" i="3"/>
  <c r="N14" i="3"/>
  <c r="H14" i="3" s="1"/>
  <c r="N22" i="3"/>
  <c r="H22" i="3" s="1"/>
  <c r="N19" i="3"/>
  <c r="H19" i="3" s="1"/>
  <c r="M12" i="3"/>
  <c r="K12" i="3" s="1"/>
  <c r="K24" i="3" s="1"/>
  <c r="S13" i="3"/>
  <c r="R13" i="3"/>
  <c r="G13" i="3" s="1"/>
  <c r="J24" i="3"/>
  <c r="F12" i="3"/>
  <c r="Q13" i="3"/>
  <c r="Q14" i="3"/>
  <c r="Q15" i="3"/>
  <c r="Q16" i="3"/>
  <c r="Q17" i="3"/>
  <c r="Q18" i="3"/>
  <c r="Q19" i="3"/>
  <c r="Q20" i="3"/>
  <c r="Q21" i="3"/>
  <c r="Q22" i="3"/>
  <c r="Q23" i="3"/>
  <c r="J12" i="4"/>
  <c r="T20" i="4"/>
  <c r="T19" i="4"/>
  <c r="T21" i="4"/>
  <c r="T14" i="4"/>
  <c r="X24" i="4"/>
  <c r="O24" i="4" s="1"/>
  <c r="V24" i="4"/>
  <c r="U24" i="4"/>
  <c r="T23" i="4"/>
  <c r="N23" i="4" s="1"/>
  <c r="T22" i="4"/>
  <c r="T18" i="4"/>
  <c r="T17" i="4"/>
  <c r="T16" i="4"/>
  <c r="Q16" i="4" s="1"/>
  <c r="T15" i="4"/>
  <c r="T13" i="4"/>
  <c r="T12" i="4"/>
  <c r="S12" i="4"/>
  <c r="F12" i="4" s="1"/>
  <c r="R12" i="4"/>
  <c r="G12" i="4" s="1"/>
  <c r="Q11" i="4"/>
  <c r="E20" i="3" l="1"/>
  <c r="E16" i="11"/>
  <c r="U17" i="11"/>
  <c r="Y18" i="11" s="1"/>
  <c r="T17" i="11"/>
  <c r="U16" i="9"/>
  <c r="Y17" i="9" s="1"/>
  <c r="T16" i="9"/>
  <c r="E15" i="9"/>
  <c r="E14" i="8"/>
  <c r="T15" i="8"/>
  <c r="U15" i="8"/>
  <c r="Y16" i="8" s="1"/>
  <c r="E13" i="7"/>
  <c r="U14" i="7"/>
  <c r="Y15" i="7" s="1"/>
  <c r="T14" i="7"/>
  <c r="J24" i="7"/>
  <c r="F8" i="12" s="1"/>
  <c r="K24" i="7"/>
  <c r="V13" i="6"/>
  <c r="S13" i="6" s="1"/>
  <c r="I13" i="6"/>
  <c r="U13" i="6"/>
  <c r="Y14" i="6" s="1"/>
  <c r="J12" i="6"/>
  <c r="T14" i="5"/>
  <c r="V14" i="5"/>
  <c r="I14" i="5"/>
  <c r="U14" i="5"/>
  <c r="Y15" i="5" s="1"/>
  <c r="E13" i="5"/>
  <c r="S13" i="5"/>
  <c r="K13" i="5"/>
  <c r="L13" i="5"/>
  <c r="F13" i="5" s="1"/>
  <c r="M13" i="5"/>
  <c r="F12" i="5"/>
  <c r="Q12" i="4"/>
  <c r="N12" i="4"/>
  <c r="H12" i="4" s="1"/>
  <c r="I24" i="3"/>
  <c r="E18" i="3"/>
  <c r="E17" i="3"/>
  <c r="M24" i="3"/>
  <c r="E19" i="3"/>
  <c r="E16" i="3"/>
  <c r="E22" i="3"/>
  <c r="E21" i="3"/>
  <c r="E23" i="3"/>
  <c r="E15" i="3"/>
  <c r="E13" i="3"/>
  <c r="E14" i="3"/>
  <c r="N24" i="3"/>
  <c r="H12" i="3"/>
  <c r="H24" i="3" s="1"/>
  <c r="E12" i="3"/>
  <c r="W14" i="3"/>
  <c r="F13" i="3"/>
  <c r="Q13" i="4"/>
  <c r="N13" i="4"/>
  <c r="H13" i="4" s="1"/>
  <c r="M13" i="4"/>
  <c r="K13" i="4" s="1"/>
  <c r="M16" i="4"/>
  <c r="K16" i="4" s="1"/>
  <c r="N16" i="4"/>
  <c r="H16" i="4" s="1"/>
  <c r="Q14" i="4"/>
  <c r="N14" i="4"/>
  <c r="H14" i="4" s="1"/>
  <c r="M14" i="4"/>
  <c r="Q21" i="4"/>
  <c r="M21" i="4"/>
  <c r="N21" i="4"/>
  <c r="M12" i="4"/>
  <c r="K12" i="4" s="1"/>
  <c r="Q15" i="4"/>
  <c r="M15" i="4"/>
  <c r="K15" i="4" s="1"/>
  <c r="N15" i="4"/>
  <c r="Q17" i="4"/>
  <c r="N17" i="4"/>
  <c r="M17" i="4"/>
  <c r="K17" i="4" s="1"/>
  <c r="Q18" i="4"/>
  <c r="N18" i="4"/>
  <c r="H18" i="4" s="1"/>
  <c r="M18" i="4"/>
  <c r="K18" i="4" s="1"/>
  <c r="Q19" i="4"/>
  <c r="N19" i="4"/>
  <c r="H19" i="4" s="1"/>
  <c r="M19" i="4"/>
  <c r="K19" i="4" s="1"/>
  <c r="Q22" i="4"/>
  <c r="N22" i="4"/>
  <c r="H22" i="4" s="1"/>
  <c r="M22" i="4"/>
  <c r="K22" i="4" s="1"/>
  <c r="Q20" i="4"/>
  <c r="M20" i="4"/>
  <c r="K20" i="4" s="1"/>
  <c r="N20" i="4"/>
  <c r="H20" i="4" s="1"/>
  <c r="Q23" i="4"/>
  <c r="M23" i="4"/>
  <c r="K23" i="4" s="1"/>
  <c r="J16" i="4"/>
  <c r="T24" i="4"/>
  <c r="W13" i="4"/>
  <c r="E14" i="7" l="1"/>
  <c r="U18" i="11"/>
  <c r="Y19" i="11" s="1"/>
  <c r="T18" i="11"/>
  <c r="E18" i="11" s="1"/>
  <c r="E17" i="11"/>
  <c r="E16" i="9"/>
  <c r="T17" i="9"/>
  <c r="U17" i="9"/>
  <c r="Y18" i="9" s="1"/>
  <c r="E15" i="8"/>
  <c r="U16" i="8"/>
  <c r="Y17" i="8" s="1"/>
  <c r="T16" i="8"/>
  <c r="U15" i="7"/>
  <c r="Y16" i="7" s="1"/>
  <c r="T15" i="7"/>
  <c r="I14" i="6"/>
  <c r="M13" i="6"/>
  <c r="K13" i="6"/>
  <c r="J13" i="6" s="1"/>
  <c r="L13" i="6"/>
  <c r="F13" i="6" s="1"/>
  <c r="E13" i="6"/>
  <c r="V15" i="5"/>
  <c r="U15" i="5"/>
  <c r="Y16" i="5" s="1"/>
  <c r="T15" i="5"/>
  <c r="I15" i="5"/>
  <c r="J13" i="5"/>
  <c r="M14" i="5"/>
  <c r="L14" i="5"/>
  <c r="S14" i="5"/>
  <c r="K14" i="5"/>
  <c r="J14" i="5" s="1"/>
  <c r="E14" i="5"/>
  <c r="E24" i="3"/>
  <c r="S14" i="3"/>
  <c r="R14" i="3"/>
  <c r="E12" i="4"/>
  <c r="E18" i="4"/>
  <c r="E19" i="4"/>
  <c r="H21" i="4"/>
  <c r="K21" i="4"/>
  <c r="E20" i="4"/>
  <c r="E16" i="4"/>
  <c r="J21" i="4"/>
  <c r="I22" i="4"/>
  <c r="E17" i="4"/>
  <c r="I17" i="4"/>
  <c r="I18" i="4"/>
  <c r="E22" i="4"/>
  <c r="E13" i="4"/>
  <c r="H15" i="4"/>
  <c r="E15" i="4"/>
  <c r="J23" i="4"/>
  <c r="I23" i="4"/>
  <c r="I13" i="4"/>
  <c r="J13" i="4"/>
  <c r="J20" i="4"/>
  <c r="I20" i="4"/>
  <c r="S13" i="4"/>
  <c r="R13" i="4"/>
  <c r="I19" i="4"/>
  <c r="J19" i="4"/>
  <c r="H23" i="4"/>
  <c r="E23" i="4"/>
  <c r="I16" i="4"/>
  <c r="E14" i="4"/>
  <c r="T19" i="11" l="1"/>
  <c r="U19" i="11"/>
  <c r="Y20" i="11" s="1"/>
  <c r="T18" i="9"/>
  <c r="E17" i="9"/>
  <c r="U18" i="9"/>
  <c r="Y19" i="9" s="1"/>
  <c r="E16" i="8"/>
  <c r="U17" i="8"/>
  <c r="Y18" i="8" s="1"/>
  <c r="T17" i="8"/>
  <c r="U16" i="7"/>
  <c r="Y17" i="7" s="1"/>
  <c r="T16" i="7"/>
  <c r="E15" i="7"/>
  <c r="U14" i="6"/>
  <c r="Y15" i="6" s="1"/>
  <c r="T14" i="6"/>
  <c r="V14" i="6"/>
  <c r="L14" i="6" s="1"/>
  <c r="F14" i="6" s="1"/>
  <c r="E15" i="5"/>
  <c r="M15" i="5"/>
  <c r="L15" i="5"/>
  <c r="F15" i="5" s="1"/>
  <c r="S15" i="5"/>
  <c r="K15" i="5"/>
  <c r="J15" i="5" s="1"/>
  <c r="F14" i="5"/>
  <c r="V16" i="5"/>
  <c r="U16" i="5"/>
  <c r="Y17" i="5" s="1"/>
  <c r="T16" i="5"/>
  <c r="I16" i="5"/>
  <c r="G14" i="3"/>
  <c r="W15" i="3"/>
  <c r="F14" i="3"/>
  <c r="E21" i="4"/>
  <c r="E24" i="4" s="1"/>
  <c r="H28" i="4" s="1"/>
  <c r="J22" i="4"/>
  <c r="J18" i="4"/>
  <c r="I21" i="4"/>
  <c r="J17" i="4"/>
  <c r="N24" i="4"/>
  <c r="H17" i="4"/>
  <c r="H24" i="4" s="1"/>
  <c r="H31" i="4" s="1"/>
  <c r="J14" i="4"/>
  <c r="I14" i="4"/>
  <c r="G13" i="4"/>
  <c r="W14" i="4"/>
  <c r="F13" i="4"/>
  <c r="J15" i="4"/>
  <c r="I15" i="4"/>
  <c r="K14" i="4"/>
  <c r="K24" i="4" s="1"/>
  <c r="H34" i="4" s="1"/>
  <c r="M24" i="4"/>
  <c r="U20" i="11" l="1"/>
  <c r="Y21" i="11" s="1"/>
  <c r="T20" i="11"/>
  <c r="E19" i="11"/>
  <c r="U19" i="9"/>
  <c r="Y20" i="9" s="1"/>
  <c r="E18" i="9"/>
  <c r="T19" i="9"/>
  <c r="U18" i="8"/>
  <c r="Y19" i="8" s="1"/>
  <c r="T18" i="8"/>
  <c r="E17" i="8"/>
  <c r="E16" i="7"/>
  <c r="T17" i="7"/>
  <c r="U17" i="7"/>
  <c r="Y18" i="7" s="1"/>
  <c r="T15" i="6"/>
  <c r="E16" i="5"/>
  <c r="E14" i="6"/>
  <c r="S14" i="6"/>
  <c r="K14" i="6"/>
  <c r="J14" i="6" s="1"/>
  <c r="M14" i="6"/>
  <c r="U17" i="5"/>
  <c r="Y18" i="5" s="1"/>
  <c r="T17" i="5"/>
  <c r="I17" i="5"/>
  <c r="V17" i="5"/>
  <c r="M16" i="5"/>
  <c r="L16" i="5"/>
  <c r="F16" i="5" s="1"/>
  <c r="S16" i="5"/>
  <c r="K16" i="5"/>
  <c r="S15" i="3"/>
  <c r="R15" i="3"/>
  <c r="I24" i="4"/>
  <c r="H32" i="4" s="1"/>
  <c r="J24" i="4"/>
  <c r="H33" i="4" s="1"/>
  <c r="S14" i="4"/>
  <c r="R14" i="4"/>
  <c r="E20" i="11" l="1"/>
  <c r="T21" i="11"/>
  <c r="U21" i="11"/>
  <c r="Y22" i="11" s="1"/>
  <c r="U20" i="9"/>
  <c r="Y21" i="9" s="1"/>
  <c r="T20" i="9"/>
  <c r="E19" i="9"/>
  <c r="E18" i="8"/>
  <c r="U19" i="8"/>
  <c r="Y20" i="8" s="1"/>
  <c r="T19" i="8"/>
  <c r="E17" i="7"/>
  <c r="T18" i="7"/>
  <c r="U18" i="7"/>
  <c r="Y19" i="7" s="1"/>
  <c r="U15" i="6"/>
  <c r="Y16" i="6" s="1"/>
  <c r="V16" i="6" s="1"/>
  <c r="L16" i="6" s="1"/>
  <c r="F16" i="6" s="1"/>
  <c r="V15" i="6"/>
  <c r="L15" i="6" s="1"/>
  <c r="F15" i="6" s="1"/>
  <c r="I15" i="6"/>
  <c r="E17" i="5"/>
  <c r="K17" i="5"/>
  <c r="J17" i="5" s="1"/>
  <c r="S17" i="5"/>
  <c r="L17" i="5"/>
  <c r="F17" i="5" s="1"/>
  <c r="M17" i="5"/>
  <c r="I18" i="5"/>
  <c r="V18" i="5"/>
  <c r="U18" i="5"/>
  <c r="Y19" i="5" s="1"/>
  <c r="T18" i="5"/>
  <c r="J16" i="5"/>
  <c r="G15" i="3"/>
  <c r="W16" i="3"/>
  <c r="F15" i="3"/>
  <c r="G14" i="4"/>
  <c r="W15" i="4"/>
  <c r="F14" i="4"/>
  <c r="U22" i="11" l="1"/>
  <c r="Y23" i="11" s="1"/>
  <c r="T22" i="11"/>
  <c r="E22" i="11" s="1"/>
  <c r="E21" i="11"/>
  <c r="E20" i="9"/>
  <c r="U21" i="9"/>
  <c r="Y22" i="9" s="1"/>
  <c r="T21" i="9"/>
  <c r="U20" i="8"/>
  <c r="Y21" i="8" s="1"/>
  <c r="T20" i="8"/>
  <c r="E19" i="8"/>
  <c r="U19" i="7"/>
  <c r="Y20" i="7" s="1"/>
  <c r="T19" i="7"/>
  <c r="E18" i="7"/>
  <c r="K15" i="6"/>
  <c r="J15" i="6" s="1"/>
  <c r="S15" i="6"/>
  <c r="M15" i="6"/>
  <c r="E15" i="6"/>
  <c r="U16" i="6"/>
  <c r="Y17" i="6" s="1"/>
  <c r="I16" i="6"/>
  <c r="T16" i="6"/>
  <c r="S16" i="6"/>
  <c r="K16" i="6"/>
  <c r="J16" i="6" s="1"/>
  <c r="M16" i="6"/>
  <c r="T19" i="5"/>
  <c r="V19" i="5"/>
  <c r="U19" i="5"/>
  <c r="Y20" i="5" s="1"/>
  <c r="I19" i="5"/>
  <c r="S18" i="5"/>
  <c r="M18" i="5"/>
  <c r="L18" i="5"/>
  <c r="K18" i="5"/>
  <c r="E18" i="5"/>
  <c r="S16" i="3"/>
  <c r="R16" i="3"/>
  <c r="G16" i="3" s="1"/>
  <c r="S15" i="4"/>
  <c r="R15" i="4"/>
  <c r="T23" i="11" l="1"/>
  <c r="E23" i="11" s="1"/>
  <c r="E24" i="11" s="1"/>
  <c r="E21" i="9"/>
  <c r="U22" i="9"/>
  <c r="Y23" i="9" s="1"/>
  <c r="T22" i="9"/>
  <c r="E20" i="8"/>
  <c r="U21" i="8"/>
  <c r="Y22" i="8" s="1"/>
  <c r="T21" i="8"/>
  <c r="U20" i="7"/>
  <c r="Y21" i="7" s="1"/>
  <c r="T20" i="7"/>
  <c r="E19" i="7"/>
  <c r="T17" i="6"/>
  <c r="E16" i="6"/>
  <c r="U17" i="6"/>
  <c r="Y18" i="6" s="1"/>
  <c r="I17" i="6"/>
  <c r="V17" i="6"/>
  <c r="L17" i="6" s="1"/>
  <c r="F17" i="6" s="1"/>
  <c r="E19" i="5"/>
  <c r="F18" i="5"/>
  <c r="J18" i="5"/>
  <c r="V20" i="5"/>
  <c r="U20" i="5"/>
  <c r="Y21" i="5" s="1"/>
  <c r="T20" i="5"/>
  <c r="I20" i="5"/>
  <c r="M19" i="5"/>
  <c r="L19" i="5"/>
  <c r="F19" i="5" s="1"/>
  <c r="S19" i="5"/>
  <c r="K19" i="5"/>
  <c r="J19" i="5" s="1"/>
  <c r="W17" i="3"/>
  <c r="F16" i="3"/>
  <c r="G15" i="4"/>
  <c r="W16" i="4"/>
  <c r="R16" i="4" s="1"/>
  <c r="F15" i="4"/>
  <c r="E25" i="11" l="1"/>
  <c r="E27" i="11" s="1"/>
  <c r="C12" i="12"/>
  <c r="E22" i="9"/>
  <c r="T23" i="9"/>
  <c r="E23" i="9" s="1"/>
  <c r="E21" i="8"/>
  <c r="U22" i="8"/>
  <c r="Y23" i="8" s="1"/>
  <c r="T22" i="8"/>
  <c r="E20" i="7"/>
  <c r="U21" i="7"/>
  <c r="Y22" i="7" s="1"/>
  <c r="T21" i="7"/>
  <c r="K17" i="6"/>
  <c r="J17" i="6" s="1"/>
  <c r="S17" i="6"/>
  <c r="E17" i="6"/>
  <c r="M17" i="6"/>
  <c r="E20" i="5"/>
  <c r="U21" i="5"/>
  <c r="Y22" i="5" s="1"/>
  <c r="T21" i="5"/>
  <c r="I21" i="5"/>
  <c r="V21" i="5"/>
  <c r="M20" i="5"/>
  <c r="L20" i="5"/>
  <c r="F20" i="5" s="1"/>
  <c r="S20" i="5"/>
  <c r="K20" i="5"/>
  <c r="J20" i="5" s="1"/>
  <c r="S17" i="3"/>
  <c r="R17" i="3"/>
  <c r="G17" i="3" s="1"/>
  <c r="S16" i="4"/>
  <c r="F27" i="11" l="1"/>
  <c r="J27" i="11"/>
  <c r="G27" i="11"/>
  <c r="E30" i="11"/>
  <c r="G12" i="12"/>
  <c r="E24" i="9"/>
  <c r="T23" i="8"/>
  <c r="E23" i="8" s="1"/>
  <c r="E22" i="8"/>
  <c r="T22" i="7"/>
  <c r="U22" i="7"/>
  <c r="Y23" i="7" s="1"/>
  <c r="E21" i="7"/>
  <c r="I18" i="6"/>
  <c r="T18" i="6"/>
  <c r="U18" i="6"/>
  <c r="Y19" i="6" s="1"/>
  <c r="V18" i="6"/>
  <c r="K21" i="5"/>
  <c r="J21" i="5" s="1"/>
  <c r="S21" i="5"/>
  <c r="L21" i="5"/>
  <c r="F21" i="5" s="1"/>
  <c r="M21" i="5"/>
  <c r="I22" i="5"/>
  <c r="V22" i="5"/>
  <c r="U22" i="5"/>
  <c r="Y23" i="5" s="1"/>
  <c r="T22" i="5"/>
  <c r="E22" i="5" s="1"/>
  <c r="E21" i="5"/>
  <c r="W18" i="3"/>
  <c r="F17" i="3"/>
  <c r="G16" i="4"/>
  <c r="F16" i="4"/>
  <c r="W17" i="4"/>
  <c r="E25" i="9" l="1"/>
  <c r="C11" i="12"/>
  <c r="G11" i="12" s="1"/>
  <c r="J27" i="9"/>
  <c r="G27" i="9"/>
  <c r="F27" i="9"/>
  <c r="E24" i="8"/>
  <c r="T23" i="7"/>
  <c r="E23" i="7" s="1"/>
  <c r="E22" i="7"/>
  <c r="K18" i="6"/>
  <c r="J18" i="6" s="1"/>
  <c r="M18" i="6"/>
  <c r="S18" i="6"/>
  <c r="L18" i="6"/>
  <c r="F18" i="6" s="1"/>
  <c r="I19" i="6"/>
  <c r="V19" i="6"/>
  <c r="U19" i="6"/>
  <c r="Y20" i="6" s="1"/>
  <c r="T19" i="6"/>
  <c r="E18" i="6"/>
  <c r="V23" i="5"/>
  <c r="T23" i="5"/>
  <c r="E23" i="5" s="1"/>
  <c r="E24" i="5" s="1"/>
  <c r="C7" i="12" s="1"/>
  <c r="I23" i="5"/>
  <c r="W24" i="5"/>
  <c r="E28" i="5" s="1"/>
  <c r="S22" i="5"/>
  <c r="M22" i="5"/>
  <c r="L22" i="5"/>
  <c r="F22" i="5" s="1"/>
  <c r="K22" i="5"/>
  <c r="J22" i="5" s="1"/>
  <c r="S18" i="3"/>
  <c r="R18" i="3"/>
  <c r="G18" i="3" s="1"/>
  <c r="S17" i="4"/>
  <c r="R17" i="4"/>
  <c r="G17" i="4" s="1"/>
  <c r="E25" i="8" l="1"/>
  <c r="E30" i="8" s="1"/>
  <c r="C10" i="12"/>
  <c r="G10" i="12" s="1"/>
  <c r="E27" i="9"/>
  <c r="E30" i="9"/>
  <c r="F27" i="8"/>
  <c r="G27" i="8"/>
  <c r="J27" i="8"/>
  <c r="E27" i="8"/>
  <c r="E24" i="7"/>
  <c r="E19" i="6"/>
  <c r="K19" i="6"/>
  <c r="J19" i="6" s="1"/>
  <c r="M19" i="6"/>
  <c r="S19" i="6"/>
  <c r="L19" i="6"/>
  <c r="F19" i="6" s="1"/>
  <c r="I20" i="6"/>
  <c r="U20" i="6"/>
  <c r="Y21" i="6" s="1"/>
  <c r="T20" i="6"/>
  <c r="V20" i="6"/>
  <c r="M23" i="5"/>
  <c r="L23" i="5"/>
  <c r="S23" i="5"/>
  <c r="R11" i="5" s="1"/>
  <c r="H12" i="5" s="1"/>
  <c r="G12" i="5" s="1"/>
  <c r="G24" i="5" s="1"/>
  <c r="E7" i="12" s="1"/>
  <c r="K23" i="5"/>
  <c r="W19" i="3"/>
  <c r="F18" i="3"/>
  <c r="W18" i="4"/>
  <c r="F17" i="4"/>
  <c r="E25" i="7" l="1"/>
  <c r="E27" i="7" s="1"/>
  <c r="C8" i="12"/>
  <c r="G8" i="12" s="1"/>
  <c r="E30" i="7"/>
  <c r="G27" i="7"/>
  <c r="F27" i="7"/>
  <c r="J27" i="7"/>
  <c r="V21" i="6"/>
  <c r="I21" i="6"/>
  <c r="U21" i="6"/>
  <c r="Y22" i="6" s="1"/>
  <c r="T21" i="6"/>
  <c r="E20" i="6"/>
  <c r="M20" i="6"/>
  <c r="K20" i="6"/>
  <c r="J20" i="6" s="1"/>
  <c r="L20" i="6"/>
  <c r="F20" i="6" s="1"/>
  <c r="S20" i="6"/>
  <c r="J23" i="5"/>
  <c r="L24" i="5"/>
  <c r="F23" i="5"/>
  <c r="F24" i="5" s="1"/>
  <c r="D7" i="12" s="1"/>
  <c r="M24" i="5"/>
  <c r="S19" i="3"/>
  <c r="R19" i="3"/>
  <c r="G19" i="3" s="1"/>
  <c r="R18" i="4"/>
  <c r="G18" i="4" s="1"/>
  <c r="S18" i="4"/>
  <c r="E21" i="6" l="1"/>
  <c r="U22" i="6"/>
  <c r="Y23" i="6" s="1"/>
  <c r="I22" i="6"/>
  <c r="V22" i="6"/>
  <c r="T22" i="6"/>
  <c r="S21" i="6"/>
  <c r="L21" i="6"/>
  <c r="F21" i="6" s="1"/>
  <c r="M21" i="6"/>
  <c r="K21" i="6"/>
  <c r="J21" i="6" s="1"/>
  <c r="J24" i="5"/>
  <c r="K24" i="5"/>
  <c r="W20" i="3"/>
  <c r="F19" i="3"/>
  <c r="F18" i="4"/>
  <c r="W19" i="4"/>
  <c r="E25" i="5" l="1"/>
  <c r="F7" i="12"/>
  <c r="G7" i="12" s="1"/>
  <c r="E22" i="6"/>
  <c r="L22" i="6"/>
  <c r="F22" i="6" s="1"/>
  <c r="S22" i="6"/>
  <c r="K22" i="6"/>
  <c r="J22" i="6" s="1"/>
  <c r="M22" i="6"/>
  <c r="E27" i="5"/>
  <c r="G27" i="5"/>
  <c r="J27" i="5"/>
  <c r="S20" i="3"/>
  <c r="R20" i="3"/>
  <c r="G20" i="3" s="1"/>
  <c r="S19" i="4"/>
  <c r="R19" i="4"/>
  <c r="G19" i="4" s="1"/>
  <c r="F27" i="5" l="1"/>
  <c r="E30" i="5"/>
  <c r="I23" i="6"/>
  <c r="V23" i="6"/>
  <c r="L23" i="6" s="1"/>
  <c r="T23" i="6"/>
  <c r="E23" i="6" s="1"/>
  <c r="E24" i="6" s="1"/>
  <c r="C9" i="12" s="1"/>
  <c r="W21" i="3"/>
  <c r="F20" i="3"/>
  <c r="F19" i="4"/>
  <c r="W20" i="4"/>
  <c r="K23" i="6" l="1"/>
  <c r="L24" i="6" s="1"/>
  <c r="M23" i="6"/>
  <c r="S23" i="6"/>
  <c r="R11" i="6" s="1"/>
  <c r="H12" i="6" s="1"/>
  <c r="G12" i="6" s="1"/>
  <c r="G24" i="6" s="1"/>
  <c r="E9" i="12" s="1"/>
  <c r="F23" i="6"/>
  <c r="F24" i="6" s="1"/>
  <c r="D9" i="12" s="1"/>
  <c r="M24" i="6"/>
  <c r="S21" i="3"/>
  <c r="R21" i="3"/>
  <c r="G21" i="3" s="1"/>
  <c r="R20" i="4"/>
  <c r="G20" i="4" s="1"/>
  <c r="S20" i="4"/>
  <c r="J23" i="6" l="1"/>
  <c r="J24" i="6" s="1"/>
  <c r="F9" i="12" s="1"/>
  <c r="G9" i="12" s="1"/>
  <c r="W22" i="3"/>
  <c r="F21" i="3"/>
  <c r="F20" i="4"/>
  <c r="W21" i="4"/>
  <c r="S21" i="4" s="1"/>
  <c r="K24" i="6" l="1"/>
  <c r="E25" i="6"/>
  <c r="E30" i="6" s="1"/>
  <c r="S22" i="3"/>
  <c r="R22" i="3"/>
  <c r="G22" i="3" s="1"/>
  <c r="R21" i="4"/>
  <c r="G21" i="4" s="1"/>
  <c r="G27" i="6" l="1"/>
  <c r="E27" i="6"/>
  <c r="F27" i="6"/>
  <c r="J27" i="6"/>
  <c r="W23" i="3"/>
  <c r="F22" i="3"/>
  <c r="F21" i="4"/>
  <c r="W22" i="4"/>
  <c r="S23" i="3" l="1"/>
  <c r="R23" i="3"/>
  <c r="S22" i="4"/>
  <c r="R22" i="4"/>
  <c r="G22" i="4" s="1"/>
  <c r="G23" i="3" l="1"/>
  <c r="G24" i="3" s="1"/>
  <c r="R24" i="3"/>
  <c r="F23" i="3"/>
  <c r="F24" i="3" s="1"/>
  <c r="S24" i="3"/>
  <c r="W23" i="4"/>
  <c r="R23" i="4" s="1"/>
  <c r="F22" i="4"/>
  <c r="E25" i="3" l="1"/>
  <c r="S23" i="4"/>
  <c r="G23" i="4" l="1"/>
  <c r="G24" i="4" s="1"/>
  <c r="H30" i="4" s="1"/>
  <c r="R24" i="4"/>
  <c r="F23" i="4"/>
  <c r="F24" i="4" s="1"/>
  <c r="H29" i="4" s="1"/>
  <c r="S24" i="4"/>
  <c r="E25" i="4" l="1"/>
  <c r="V12" i="2" l="1"/>
  <c r="I12" i="2"/>
  <c r="T12" i="2"/>
  <c r="U12" i="2"/>
  <c r="Y13" i="2" s="1"/>
  <c r="W13" i="2" s="1"/>
  <c r="E12" i="2" l="1"/>
  <c r="T13" i="2"/>
  <c r="I13" i="2"/>
  <c r="V13" i="2"/>
  <c r="U13" i="2"/>
  <c r="Y14" i="2" s="1"/>
  <c r="W14" i="2" s="1"/>
  <c r="L12" i="2"/>
  <c r="K12" i="2"/>
  <c r="S12" i="2"/>
  <c r="M12" i="2"/>
  <c r="E13" i="2" l="1"/>
  <c r="J12" i="2"/>
  <c r="F12" i="2"/>
  <c r="V14" i="2"/>
  <c r="I14" i="2"/>
  <c r="U14" i="2"/>
  <c r="Y15" i="2" s="1"/>
  <c r="W15" i="2" s="1"/>
  <c r="T14" i="2"/>
  <c r="S13" i="2"/>
  <c r="K13" i="2"/>
  <c r="J13" i="2" s="1"/>
  <c r="M13" i="2"/>
  <c r="L13" i="2"/>
  <c r="F13" i="2" s="1"/>
  <c r="V15" i="2" l="1"/>
  <c r="U15" i="2"/>
  <c r="Y16" i="2" s="1"/>
  <c r="W16" i="2" s="1"/>
  <c r="T15" i="2"/>
  <c r="I15" i="2"/>
  <c r="L14" i="2"/>
  <c r="F14" i="2" s="1"/>
  <c r="M14" i="2"/>
  <c r="S14" i="2"/>
  <c r="K14" i="2"/>
  <c r="J14" i="2" s="1"/>
  <c r="E14" i="2"/>
  <c r="E15" i="2" l="1"/>
  <c r="T16" i="2"/>
  <c r="V16" i="2"/>
  <c r="I16" i="2"/>
  <c r="U16" i="2"/>
  <c r="Y17" i="2" s="1"/>
  <c r="W17" i="2" s="1"/>
  <c r="S15" i="2"/>
  <c r="K15" i="2"/>
  <c r="M15" i="2"/>
  <c r="L15" i="2"/>
  <c r="F15" i="2" s="1"/>
  <c r="U17" i="2" l="1"/>
  <c r="Y18" i="2" s="1"/>
  <c r="W18" i="2" s="1"/>
  <c r="I17" i="2"/>
  <c r="T17" i="2"/>
  <c r="V17" i="2"/>
  <c r="J15" i="2"/>
  <c r="S16" i="2"/>
  <c r="K16" i="2"/>
  <c r="J16" i="2" s="1"/>
  <c r="L16" i="2"/>
  <c r="F16" i="2" s="1"/>
  <c r="M16" i="2"/>
  <c r="E16" i="2"/>
  <c r="E17" i="2" l="1"/>
  <c r="V18" i="2"/>
  <c r="T18" i="2"/>
  <c r="U18" i="2"/>
  <c r="Y19" i="2" s="1"/>
  <c r="W19" i="2" s="1"/>
  <c r="I18" i="2"/>
  <c r="M17" i="2"/>
  <c r="S17" i="2"/>
  <c r="K17" i="2"/>
  <c r="J17" i="2" s="1"/>
  <c r="L17" i="2"/>
  <c r="F17" i="2" s="1"/>
  <c r="E18" i="2" l="1"/>
  <c r="V19" i="2"/>
  <c r="I19" i="2"/>
  <c r="U19" i="2"/>
  <c r="Y20" i="2" s="1"/>
  <c r="W20" i="2" s="1"/>
  <c r="T19" i="2"/>
  <c r="M18" i="2"/>
  <c r="L18" i="2"/>
  <c r="F18" i="2" s="1"/>
  <c r="S18" i="2"/>
  <c r="K18" i="2"/>
  <c r="J18" i="2" s="1"/>
  <c r="I20" i="2" l="1"/>
  <c r="E19" i="2"/>
  <c r="K19" i="2"/>
  <c r="J19" i="2" s="1"/>
  <c r="L19" i="2"/>
  <c r="F19" i="2" s="1"/>
  <c r="M19" i="2"/>
  <c r="S19" i="2"/>
  <c r="U20" i="2"/>
  <c r="Y21" i="2" s="1"/>
  <c r="W21" i="2" s="1"/>
  <c r="V20" i="2" l="1"/>
  <c r="K20" i="2" s="1"/>
  <c r="J20" i="2" s="1"/>
  <c r="T20" i="2"/>
  <c r="T21" i="2" s="1"/>
  <c r="U21" i="2"/>
  <c r="Y22" i="2" s="1"/>
  <c r="W22" i="2" s="1"/>
  <c r="I21" i="2"/>
  <c r="V21" i="2"/>
  <c r="S20" i="2" l="1"/>
  <c r="L20" i="2"/>
  <c r="F20" i="2" s="1"/>
  <c r="M20" i="2"/>
  <c r="E20" i="2"/>
  <c r="E21" i="2"/>
  <c r="K21" i="2"/>
  <c r="J21" i="2" s="1"/>
  <c r="L21" i="2"/>
  <c r="F21" i="2" s="1"/>
  <c r="M21" i="2"/>
  <c r="S21" i="2"/>
  <c r="V22" i="2"/>
  <c r="I22" i="2"/>
  <c r="U22" i="2"/>
  <c r="Y23" i="2" s="1"/>
  <c r="W23" i="2" s="1"/>
  <c r="W24" i="2" s="1"/>
  <c r="E28" i="2" s="1"/>
  <c r="T22" i="2"/>
  <c r="E22" i="2" l="1"/>
  <c r="K22" i="2"/>
  <c r="J22" i="2" s="1"/>
  <c r="L22" i="2"/>
  <c r="F22" i="2" s="1"/>
  <c r="S22" i="2"/>
  <c r="M22" i="2"/>
  <c r="T23" i="2"/>
  <c r="E23" i="2" s="1"/>
  <c r="V23" i="2" l="1"/>
  <c r="M23" i="2" s="1"/>
  <c r="I23" i="2"/>
  <c r="N36" i="2"/>
  <c r="E24" i="2"/>
  <c r="C6" i="12" s="1"/>
  <c r="C14" i="12" s="1"/>
  <c r="L23" i="2" l="1"/>
  <c r="M24" i="2" s="1"/>
  <c r="K23" i="2"/>
  <c r="L24" i="2" s="1"/>
  <c r="S23" i="2"/>
  <c r="H12" i="2" s="1"/>
  <c r="G12" i="2" s="1"/>
  <c r="G24" i="2" s="1"/>
  <c r="E6" i="12" s="1"/>
  <c r="E14" i="12" s="1"/>
  <c r="J23" i="2" l="1"/>
  <c r="F23" i="2"/>
  <c r="F24" i="2" s="1"/>
  <c r="D6" i="12" s="1"/>
  <c r="K24" i="2"/>
  <c r="J24" i="2"/>
  <c r="E25" i="2" l="1"/>
  <c r="E30" i="2" s="1"/>
  <c r="F6" i="12"/>
  <c r="F14" i="12" s="1"/>
  <c r="G6" i="12"/>
  <c r="G14" i="12" s="1"/>
  <c r="D14" i="12"/>
  <c r="J27" i="2"/>
  <c r="E27" i="2" l="1"/>
  <c r="G27" i="2"/>
  <c r="F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 Jooyafar</author>
  </authors>
  <commentList>
    <comment ref="V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Ali Jooyafar: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 Jooyafar</author>
  </authors>
  <commentList>
    <comment ref="V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Ali Jooyafar: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 Jooyafar</author>
  </authors>
  <commentList>
    <comment ref="V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Ali Jooyafar: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 Jooyafar</author>
  </authors>
  <commentList>
    <comment ref="V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Ali Jooyafar: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 Jooyafar</author>
  </authors>
  <commentList>
    <comment ref="V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Ali Jooyafar: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 Jooyafar</author>
  </authors>
  <commentList>
    <comment ref="V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Ali Jooyafar: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 Jooyafar</author>
  </authors>
  <commentList>
    <comment ref="V8" authorId="0" shapeId="0" xr:uid="{135E7D10-B3B3-4385-B07C-98BBAA74C513}">
      <text>
        <r>
          <rPr>
            <b/>
            <sz val="9"/>
            <color indexed="81"/>
            <rFont val="Tahoma"/>
            <family val="2"/>
          </rPr>
          <t>Ali Jooyafar: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<sst xmlns="http://schemas.openxmlformats.org/spreadsheetml/2006/main" count="557" uniqueCount="94">
  <si>
    <t>فروردین</t>
  </si>
  <si>
    <t>اردیبهشت</t>
  </si>
  <si>
    <t xml:space="preserve">خرداد </t>
  </si>
  <si>
    <t>تیر</t>
  </si>
  <si>
    <t>مرداد</t>
  </si>
  <si>
    <t>شهریور</t>
  </si>
  <si>
    <t>مهر</t>
  </si>
  <si>
    <t xml:space="preserve">آبان </t>
  </si>
  <si>
    <t>آذر</t>
  </si>
  <si>
    <t>دی</t>
  </si>
  <si>
    <t>بهمن</t>
  </si>
  <si>
    <t>اسفند</t>
  </si>
  <si>
    <t>موجودی آغازین</t>
  </si>
  <si>
    <t>تولید</t>
  </si>
  <si>
    <t>موجودی پایانی</t>
  </si>
  <si>
    <t>تعداد کارگر لازم</t>
  </si>
  <si>
    <t>تغییر نیروی کار</t>
  </si>
  <si>
    <t>هزینه بکارگیری</t>
  </si>
  <si>
    <t>هزینه بیکارکردن</t>
  </si>
  <si>
    <t>هزینه کمبود</t>
  </si>
  <si>
    <t>هزینه نگهدادری</t>
  </si>
  <si>
    <t>هزینه اضافه کاری</t>
  </si>
  <si>
    <t>هزینه تولید در وقت عادی</t>
  </si>
  <si>
    <t>هزینه تولید در اضافه کاری</t>
  </si>
  <si>
    <t>هزینه نگهدلری هر واحد در ماه</t>
  </si>
  <si>
    <t>هزینه کمبود هر کالا ماهانه</t>
  </si>
  <si>
    <t>هزینه به کارگیری</t>
  </si>
  <si>
    <t>هزینه بیکار کردن</t>
  </si>
  <si>
    <t>حداکثر ساعت کاری هر نفر در روز</t>
  </si>
  <si>
    <t>حداقل تعداد نیروی انسانی</t>
  </si>
  <si>
    <t>سقف اضافه کاری هر نفر در روز</t>
  </si>
  <si>
    <t>حداقل تولید</t>
  </si>
  <si>
    <t>سقف کمبود</t>
  </si>
  <si>
    <t>سقف موجودی انبار</t>
  </si>
  <si>
    <t>مدت زمان لازم برای تولید هر کالا</t>
  </si>
  <si>
    <t>تعداد کارگر ابتدای سال</t>
  </si>
  <si>
    <t>حداکثر کارگر مجاز</t>
  </si>
  <si>
    <t>پیمانکاری مجاز نیست</t>
  </si>
  <si>
    <t>موجودی ابتدای دوره</t>
  </si>
  <si>
    <t>روز های کاری</t>
  </si>
  <si>
    <t xml:space="preserve">تقاضا </t>
  </si>
  <si>
    <t>کمبود</t>
  </si>
  <si>
    <t>ساعت اضافه کاری لازم</t>
  </si>
  <si>
    <t>ساعت تولید لازم</t>
  </si>
  <si>
    <t>تعداد ساعت بیکاری کارگران</t>
  </si>
  <si>
    <t>هزینه ساعت های بیکاری</t>
  </si>
  <si>
    <t xml:space="preserve">هزینه هر ساعت بیکاری </t>
  </si>
  <si>
    <t>جمع</t>
  </si>
  <si>
    <t>ماه</t>
  </si>
  <si>
    <t>هزینه کل</t>
  </si>
  <si>
    <t>اضافه</t>
  </si>
  <si>
    <t>تعدادکرگر انسانی  لحاظ شده</t>
  </si>
  <si>
    <t>ساعت اضافه کاری موجود</t>
  </si>
  <si>
    <t>تعداد کارگر لازم بدون اضافه کاری</t>
  </si>
  <si>
    <t>تعداد کارگر لحاظ شده</t>
  </si>
  <si>
    <t>تعدادکرگر لحاظ شده</t>
  </si>
  <si>
    <t>مازاد اضافه کاری</t>
  </si>
  <si>
    <t>مازاد پیمانکاری</t>
  </si>
  <si>
    <t>موجودی ابتدای سال</t>
  </si>
  <si>
    <t>هزینه نگهداری هر واحد در ماه</t>
  </si>
  <si>
    <t>کارگرساعت مورد نیاز</t>
  </si>
  <si>
    <t>پتانسیل کاری معمولی نیروها (ساعت)</t>
  </si>
  <si>
    <t>پتانسیل اضافه کاری نیروها (ساعت)</t>
  </si>
  <si>
    <t>پتانسیل پیمانکاری نیروها (ساعت)</t>
  </si>
  <si>
    <t>کل پتانسیل نیروها (ساعت)</t>
  </si>
  <si>
    <t>نوع واگذاری کار</t>
  </si>
  <si>
    <t>تغییر نیرو</t>
  </si>
  <si>
    <t>بیکار/بکار گیری</t>
  </si>
  <si>
    <t>حداقل تغییر تولید</t>
  </si>
  <si>
    <t>تغییر تولید</t>
  </si>
  <si>
    <t>سقف نگهداری / موجودی انبار</t>
  </si>
  <si>
    <t>هزینه کمبود / نگهداری</t>
  </si>
  <si>
    <t>هزینه مازاد اضافه کاری</t>
  </si>
  <si>
    <t xml:space="preserve">سیاست اول: حداکثر  سه بار استخدام و یا تعدیل نیرو  در سال داشته باشیم </t>
  </si>
  <si>
    <t>حداقل 2000 واحد موجودی نگهداری شود</t>
  </si>
  <si>
    <t>هزینه  عادي کل (تومان)</t>
  </si>
  <si>
    <t>هزینه مازاد کل (تومان)</t>
  </si>
  <si>
    <t>برنامه</t>
  </si>
  <si>
    <t>جمع بندي هزينه هاي مازاد برنامه ها در کنار هم</t>
  </si>
  <si>
    <t>Mixed Chase</t>
  </si>
  <si>
    <t>Level</t>
  </si>
  <si>
    <t>Hybrid 1</t>
  </si>
  <si>
    <t>Hybrid 2</t>
  </si>
  <si>
    <t>Workers Strategy</t>
  </si>
  <si>
    <t>Inventory Strategy</t>
  </si>
  <si>
    <t>Lingo</t>
  </si>
  <si>
    <t>Optimal</t>
  </si>
  <si>
    <t>نگهداري و کمبود</t>
  </si>
  <si>
    <t>اضافه کاري</t>
  </si>
  <si>
    <t>کل</t>
  </si>
  <si>
    <t>بکارگيري / بيکار کردن</t>
  </si>
  <si>
    <t>ساعات بيکاري</t>
  </si>
  <si>
    <t xml:space="preserve"> براي دانلود فايل لينگو روي علامت آبي رنگ کليک کنيد.</t>
  </si>
  <si>
    <t xml:space="preserve"> براي دانلود نتايج فايل لينگو روي علامت صورتي رنگ کليک کنيد.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</si>
</sst>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3000401]0"/>
  </numFmts>
  <fonts count="21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B Yekan"/>
      <charset val="178"/>
    </font>
    <font>
      <b/>
      <sz val="11"/>
      <color theme="1"/>
      <name val="B Yekan"/>
      <charset val="178"/>
    </font>
    <font>
      <sz val="18"/>
      <color theme="1"/>
      <name val="B Yekan"/>
      <charset val="178"/>
    </font>
    <font>
      <sz val="12"/>
      <color theme="1"/>
      <name val="B Yeka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B050"/>
      <name val="B Yekan"/>
      <charset val="178"/>
    </font>
    <font>
      <sz val="20"/>
      <color theme="1"/>
      <name val="B Yekan"/>
      <charset val="178"/>
    </font>
    <font>
      <u/>
      <sz val="11"/>
      <color theme="10"/>
      <name val="Arial"/>
      <family val="2"/>
      <scheme val="minor"/>
    </font>
    <font>
      <sz val="11"/>
      <color theme="0"/>
      <name val="B Yekan"/>
      <charset val="178"/>
    </font>
    <font>
      <b/>
      <sz val="12"/>
      <color theme="1"/>
      <name val="B Yekan"/>
      <charset val="178"/>
    </font>
    <font>
      <sz val="12"/>
      <color theme="0"/>
      <name val="Tahoma"/>
      <family val="2"/>
    </font>
    <font>
      <sz val="8"/>
      <name val="Arial"/>
      <family val="2"/>
      <scheme val="minor"/>
    </font>
    <font>
      <sz val="12"/>
      <color theme="0"/>
      <name val="B Yekan"/>
      <charset val="178"/>
    </font>
    <font>
      <sz val="14"/>
      <color theme="1"/>
      <name val="B Yekan"/>
      <charset val="178"/>
    </font>
    <font>
      <sz val="14"/>
      <color theme="0"/>
      <name val="B Yekan"/>
      <charset val="178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0" fontId="5" fillId="0" borderId="0" xfId="0" applyFont="1"/>
    <xf numFmtId="164" fontId="5" fillId="0" borderId="0" xfId="1" applyNumberFormat="1" applyFont="1"/>
    <xf numFmtId="0" fontId="5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8" borderId="0" xfId="0" applyFont="1" applyFill="1"/>
    <xf numFmtId="164" fontId="5" fillId="0" borderId="1" xfId="1" applyNumberFormat="1" applyFont="1" applyBorder="1"/>
    <xf numFmtId="164" fontId="5" fillId="0" borderId="1" xfId="1" applyNumberFormat="1" applyFont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5" fillId="1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164" fontId="5" fillId="8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/>
    <xf numFmtId="38" fontId="5" fillId="2" borderId="1" xfId="1" applyNumberFormat="1" applyFont="1" applyFill="1" applyBorder="1" applyAlignment="1">
      <alignment horizontal="center"/>
    </xf>
    <xf numFmtId="164" fontId="5" fillId="9" borderId="1" xfId="1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164" fontId="5" fillId="0" borderId="10" xfId="0" applyNumberFormat="1" applyFont="1" applyFill="1" applyBorder="1"/>
    <xf numFmtId="164" fontId="5" fillId="0" borderId="10" xfId="1" applyNumberFormat="1" applyFont="1" applyFill="1" applyBorder="1"/>
    <xf numFmtId="0" fontId="5" fillId="0" borderId="9" xfId="0" applyFont="1" applyFill="1" applyBorder="1" applyAlignment="1"/>
    <xf numFmtId="0" fontId="5" fillId="0" borderId="11" xfId="0" applyFont="1" applyFill="1" applyBorder="1"/>
    <xf numFmtId="164" fontId="5" fillId="0" borderId="12" xfId="1" applyNumberFormat="1" applyFont="1" applyFill="1" applyBorder="1"/>
    <xf numFmtId="0" fontId="5" fillId="0" borderId="14" xfId="0" applyFont="1" applyBorder="1"/>
    <xf numFmtId="9" fontId="12" fillId="12" borderId="15" xfId="0" applyNumberFormat="1" applyFont="1" applyFill="1" applyBorder="1"/>
    <xf numFmtId="9" fontId="12" fillId="12" borderId="13" xfId="0" applyNumberFormat="1" applyFont="1" applyFill="1" applyBorder="1"/>
    <xf numFmtId="9" fontId="12" fillId="12" borderId="14" xfId="0" applyNumberFormat="1" applyFont="1" applyFill="1" applyBorder="1"/>
    <xf numFmtId="165" fontId="5" fillId="0" borderId="0" xfId="0" applyNumberFormat="1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5" fontId="14" fillId="0" borderId="0" xfId="0" applyNumberFormat="1" applyFont="1"/>
    <xf numFmtId="0" fontId="14" fillId="0" borderId="0" xfId="0" applyFont="1"/>
    <xf numFmtId="164" fontId="14" fillId="0" borderId="0" xfId="0" applyNumberFormat="1" applyFont="1"/>
    <xf numFmtId="0" fontId="0" fillId="14" borderId="0" xfId="0" applyFill="1"/>
    <xf numFmtId="0" fontId="16" fillId="15" borderId="0" xfId="0" applyFont="1" applyFill="1" applyAlignment="1">
      <alignment vertical="center"/>
    </xf>
    <xf numFmtId="0" fontId="5" fillId="3" borderId="0" xfId="0" applyFont="1" applyFill="1"/>
    <xf numFmtId="0" fontId="8" fillId="5" borderId="1" xfId="0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13" fillId="5" borderId="1" xfId="2" applyFill="1" applyBorder="1" applyAlignment="1">
      <alignment horizontal="center" vertical="center"/>
    </xf>
    <xf numFmtId="164" fontId="7" fillId="4" borderId="2" xfId="1" applyNumberFormat="1" applyFont="1" applyFill="1" applyBorder="1" applyAlignment="1">
      <alignment vertical="center"/>
    </xf>
    <xf numFmtId="164" fontId="7" fillId="4" borderId="0" xfId="1" applyNumberFormat="1" applyFont="1" applyFill="1" applyBorder="1" applyAlignment="1">
      <alignment vertical="center"/>
    </xf>
    <xf numFmtId="164" fontId="8" fillId="5" borderId="2" xfId="1" applyNumberFormat="1" applyFont="1" applyFill="1" applyBorder="1" applyAlignment="1">
      <alignment horizontal="center" vertical="center"/>
    </xf>
    <xf numFmtId="164" fontId="8" fillId="5" borderId="0" xfId="1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5" fillId="11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13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19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13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CF2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تقاضا</a:t>
            </a:r>
            <a:r>
              <a:rPr lang="fa-IR" baseline="0"/>
              <a:t> و تولید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تولید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'Mixed Chase'!$AA$12:$AA$23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 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 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'Mixed Chase'!$W$12:$W$23</c:f>
              <c:numCache>
                <c:formatCode>_(* #,##0_);_(* \(#,##0\);_(* "-"??_);_(@_)</c:formatCode>
                <c:ptCount val="12"/>
                <c:pt idx="0">
                  <c:v>12838</c:v>
                </c:pt>
                <c:pt idx="1">
                  <c:v>18155</c:v>
                </c:pt>
                <c:pt idx="2">
                  <c:v>11183</c:v>
                </c:pt>
                <c:pt idx="3">
                  <c:v>12828</c:v>
                </c:pt>
                <c:pt idx="4">
                  <c:v>16086</c:v>
                </c:pt>
                <c:pt idx="5">
                  <c:v>13907</c:v>
                </c:pt>
                <c:pt idx="6">
                  <c:v>10729</c:v>
                </c:pt>
                <c:pt idx="7">
                  <c:v>16211</c:v>
                </c:pt>
                <c:pt idx="8">
                  <c:v>16711</c:v>
                </c:pt>
                <c:pt idx="9">
                  <c:v>18936</c:v>
                </c:pt>
                <c:pt idx="10">
                  <c:v>14824</c:v>
                </c:pt>
                <c:pt idx="11">
                  <c:v>23244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7D-4353-B0CF-9934C3B4FBEC}"/>
            </c:ext>
          </c:extLst>
        </c:ser>
        <c:ser>
          <c:idx val="1"/>
          <c:order val="1"/>
          <c:tx>
            <c:v>تقاضا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'Mixed Chase'!$AA$12:$AA$23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 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 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'Mixed Chase'!$X$12:$X$23</c:f>
              <c:numCache>
                <c:formatCode>_(* #,##0_);_(* \(#,##0\);_(* "-"??_);_(@_)</c:formatCode>
                <c:ptCount val="12"/>
                <c:pt idx="0">
                  <c:v>15238</c:v>
                </c:pt>
                <c:pt idx="1">
                  <c:v>18155</c:v>
                </c:pt>
                <c:pt idx="2">
                  <c:v>11183</c:v>
                </c:pt>
                <c:pt idx="3">
                  <c:v>12828</c:v>
                </c:pt>
                <c:pt idx="4">
                  <c:v>16086</c:v>
                </c:pt>
                <c:pt idx="5">
                  <c:v>13907</c:v>
                </c:pt>
                <c:pt idx="6">
                  <c:v>10729</c:v>
                </c:pt>
                <c:pt idx="7">
                  <c:v>16211</c:v>
                </c:pt>
                <c:pt idx="8">
                  <c:v>16520</c:v>
                </c:pt>
                <c:pt idx="9">
                  <c:v>19127</c:v>
                </c:pt>
                <c:pt idx="10">
                  <c:v>14824</c:v>
                </c:pt>
                <c:pt idx="11">
                  <c:v>20844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D-4353-B0CF-9934C3B4F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451344"/>
        <c:axId val="1484451760"/>
      </c:lineChart>
      <c:catAx>
        <c:axId val="148445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484451760"/>
        <c:crosses val="autoZero"/>
        <c:auto val="1"/>
        <c:lblAlgn val="ctr"/>
        <c:lblOffset val="100"/>
        <c:noMultiLvlLbl val="0"/>
      </c:catAx>
      <c:valAx>
        <c:axId val="1484451760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48445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تولید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'تولید یکنواخت'!$U$12:$U$23</c:f>
              <c:numCache>
                <c:formatCode>General</c:formatCode>
                <c:ptCount val="12"/>
                <c:pt idx="0">
                  <c:v>15471</c:v>
                </c:pt>
                <c:pt idx="1">
                  <c:v>15471</c:v>
                </c:pt>
                <c:pt idx="2">
                  <c:v>15471</c:v>
                </c:pt>
                <c:pt idx="3">
                  <c:v>15471</c:v>
                </c:pt>
                <c:pt idx="4">
                  <c:v>15471</c:v>
                </c:pt>
                <c:pt idx="5">
                  <c:v>15471</c:v>
                </c:pt>
                <c:pt idx="6">
                  <c:v>15471</c:v>
                </c:pt>
                <c:pt idx="7">
                  <c:v>15471</c:v>
                </c:pt>
                <c:pt idx="8">
                  <c:v>15471</c:v>
                </c:pt>
                <c:pt idx="9">
                  <c:v>15471</c:v>
                </c:pt>
                <c:pt idx="10">
                  <c:v>15471</c:v>
                </c:pt>
                <c:pt idx="11">
                  <c:v>15471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B-45B2-9032-FA9819E67E49}"/>
            </c:ext>
          </c:extLst>
        </c:ser>
        <c:ser>
          <c:idx val="1"/>
          <c:order val="1"/>
          <c:tx>
            <c:v>تقاضا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'تولید یکنواخت'!$V$12:$V$23</c:f>
              <c:numCache>
                <c:formatCode>General</c:formatCode>
                <c:ptCount val="12"/>
                <c:pt idx="0">
                  <c:v>15238</c:v>
                </c:pt>
                <c:pt idx="1">
                  <c:v>18155</c:v>
                </c:pt>
                <c:pt idx="2">
                  <c:v>11183</c:v>
                </c:pt>
                <c:pt idx="3">
                  <c:v>12828</c:v>
                </c:pt>
                <c:pt idx="4">
                  <c:v>16086</c:v>
                </c:pt>
                <c:pt idx="5">
                  <c:v>13907</c:v>
                </c:pt>
                <c:pt idx="6">
                  <c:v>10729</c:v>
                </c:pt>
                <c:pt idx="7">
                  <c:v>16211</c:v>
                </c:pt>
                <c:pt idx="8">
                  <c:v>16520</c:v>
                </c:pt>
                <c:pt idx="9">
                  <c:v>19127</c:v>
                </c:pt>
                <c:pt idx="10">
                  <c:v>14824</c:v>
                </c:pt>
                <c:pt idx="11">
                  <c:v>20844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B-45B2-9032-FA9819E67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978160"/>
        <c:axId val="1176972336"/>
      </c:lineChart>
      <c:catAx>
        <c:axId val="1176978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176972336"/>
        <c:crosses val="autoZero"/>
        <c:auto val="1"/>
        <c:lblAlgn val="ctr"/>
        <c:lblOffset val="100"/>
        <c:noMultiLvlLbl val="0"/>
      </c:catAx>
      <c:valAx>
        <c:axId val="1176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17697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تقاضا</a:t>
            </a:r>
            <a:r>
              <a:rPr lang="fa-IR" baseline="0"/>
              <a:t> و تولید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تولید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Sheet2!$Y$12:$Y$23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 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 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Sheet2!$U$12:$U$23</c:f>
              <c:numCache>
                <c:formatCode>General</c:formatCode>
                <c:ptCount val="12"/>
                <c:pt idx="0">
                  <c:v>15238</c:v>
                </c:pt>
                <c:pt idx="1">
                  <c:v>18155</c:v>
                </c:pt>
                <c:pt idx="2">
                  <c:v>11183</c:v>
                </c:pt>
                <c:pt idx="3">
                  <c:v>12828</c:v>
                </c:pt>
                <c:pt idx="4">
                  <c:v>16086</c:v>
                </c:pt>
                <c:pt idx="5">
                  <c:v>13907</c:v>
                </c:pt>
                <c:pt idx="6">
                  <c:v>10729</c:v>
                </c:pt>
                <c:pt idx="7">
                  <c:v>16211</c:v>
                </c:pt>
                <c:pt idx="8">
                  <c:v>16520</c:v>
                </c:pt>
                <c:pt idx="9">
                  <c:v>19127</c:v>
                </c:pt>
                <c:pt idx="10">
                  <c:v>14824</c:v>
                </c:pt>
                <c:pt idx="11">
                  <c:v>20844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7-4906-B34F-9D8144FFCA2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Sheet2!$Y$12:$Y$23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 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 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Sheet2!$V$12:$V$23</c:f>
              <c:numCache>
                <c:formatCode>General</c:formatCode>
                <c:ptCount val="12"/>
                <c:pt idx="0">
                  <c:v>15238</c:v>
                </c:pt>
                <c:pt idx="1">
                  <c:v>18155</c:v>
                </c:pt>
                <c:pt idx="2">
                  <c:v>11183</c:v>
                </c:pt>
                <c:pt idx="3">
                  <c:v>12828</c:v>
                </c:pt>
                <c:pt idx="4">
                  <c:v>16086</c:v>
                </c:pt>
                <c:pt idx="5">
                  <c:v>13907</c:v>
                </c:pt>
                <c:pt idx="6">
                  <c:v>10729</c:v>
                </c:pt>
                <c:pt idx="7">
                  <c:v>16211</c:v>
                </c:pt>
                <c:pt idx="8">
                  <c:v>16520</c:v>
                </c:pt>
                <c:pt idx="9">
                  <c:v>19127</c:v>
                </c:pt>
                <c:pt idx="10">
                  <c:v>14824</c:v>
                </c:pt>
                <c:pt idx="11">
                  <c:v>20844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7-4906-B34F-9D8144FFC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713408"/>
        <c:axId val="1537717568"/>
      </c:lineChart>
      <c:catAx>
        <c:axId val="15377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537717568"/>
        <c:crosses val="autoZero"/>
        <c:auto val="1"/>
        <c:lblAlgn val="ctr"/>
        <c:lblOffset val="100"/>
        <c:noMultiLvlLbl val="0"/>
      </c:catAx>
      <c:valAx>
        <c:axId val="153771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53771340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Sheet2!$H$29:$H$34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1292286666.6666667</c:v>
                </c:pt>
                <c:pt idx="3">
                  <c:v>21000000</c:v>
                </c:pt>
                <c:pt idx="4">
                  <c:v>23200000</c:v>
                </c:pt>
                <c:pt idx="5">
                  <c:v>6043500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8C-433F-947C-4FACC4A11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602927"/>
        <c:axId val="996599599"/>
      </c:lineChart>
      <c:catAx>
        <c:axId val="9966029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996599599"/>
        <c:crosses val="autoZero"/>
        <c:auto val="1"/>
        <c:lblAlgn val="ctr"/>
        <c:lblOffset val="100"/>
        <c:noMultiLvlLbl val="0"/>
      </c:catAx>
      <c:valAx>
        <c:axId val="99659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996602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'Mixed Chase'!$S$8</c:f>
              <c:strCache>
                <c:ptCount val="1"/>
                <c:pt idx="0">
                  <c:v>تعداد کارگر لازم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'Mixed Chase'!$S$9:$S$24</c:f>
              <c:numCache>
                <c:formatCode>General</c:formatCode>
                <c:ptCount val="16"/>
                <c:pt idx="3" formatCode="_(* #,##0_);_(* \(#,##0\);_(* &quot;-&quot;??_);_(@_)">
                  <c:v>125</c:v>
                </c:pt>
                <c:pt idx="4" formatCode="_(* #,##0_);_(* \(#,##0\);_(* &quot;-&quot;??_);_(@_)">
                  <c:v>161</c:v>
                </c:pt>
                <c:pt idx="5" formatCode="_(* #,##0_);_(* \(#,##0\);_(* &quot;-&quot;??_);_(@_)">
                  <c:v>95</c:v>
                </c:pt>
                <c:pt idx="6" formatCode="_(* #,##0_);_(* \(#,##0\);_(* &quot;-&quot;??_);_(@_)">
                  <c:v>101</c:v>
                </c:pt>
                <c:pt idx="7" formatCode="_(* #,##0_);_(* \(#,##0\);_(* &quot;-&quot;??_);_(@_)">
                  <c:v>143</c:v>
                </c:pt>
                <c:pt idx="8" formatCode="_(* #,##0_);_(* \(#,##0\);_(* &quot;-&quot;??_);_(@_)">
                  <c:v>105</c:v>
                </c:pt>
                <c:pt idx="9" formatCode="_(* #,##0_);_(* \(#,##0\);_(* &quot;-&quot;??_);_(@_)">
                  <c:v>105</c:v>
                </c:pt>
                <c:pt idx="10" formatCode="_(* #,##0_);_(* \(#,##0\);_(* &quot;-&quot;??_);_(@_)">
                  <c:v>133</c:v>
                </c:pt>
                <c:pt idx="11" formatCode="_(* #,##0_);_(* \(#,##0\);_(* &quot;-&quot;??_);_(@_)">
                  <c:v>131</c:v>
                </c:pt>
                <c:pt idx="12" formatCode="_(* #,##0_);_(* \(#,##0\);_(* &quot;-&quot;??_);_(@_)">
                  <c:v>155</c:v>
                </c:pt>
                <c:pt idx="13" formatCode="_(* #,##0_);_(* \(#,##0\);_(* &quot;-&quot;??_);_(@_)">
                  <c:v>132</c:v>
                </c:pt>
                <c:pt idx="14" formatCode="_(* #,##0_);_(* \(#,##0\);_(* &quot;-&quot;??_);_(@_)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9F-4E95-9D45-7F6D6AA03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55472"/>
        <c:axId val="243069616"/>
      </c:lineChart>
      <c:catAx>
        <c:axId val="243055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243069616"/>
        <c:crosses val="autoZero"/>
        <c:auto val="1"/>
        <c:lblAlgn val="ctr"/>
        <c:lblOffset val="100"/>
        <c:noMultiLvlLbl val="0"/>
      </c:catAx>
      <c:valAx>
        <c:axId val="24306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24305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تولید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Level!$AA$12:$AA$23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 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 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Level!$W$12:$W$23</c:f>
              <c:numCache>
                <c:formatCode>_(* #,##0_);_(* \(#,##0\);_(* "-"??_);_(@_)</c:formatCode>
                <c:ptCount val="12"/>
                <c:pt idx="0">
                  <c:v>15471</c:v>
                </c:pt>
                <c:pt idx="1">
                  <c:v>15471</c:v>
                </c:pt>
                <c:pt idx="2">
                  <c:v>15471</c:v>
                </c:pt>
                <c:pt idx="3">
                  <c:v>15471</c:v>
                </c:pt>
                <c:pt idx="4">
                  <c:v>15471</c:v>
                </c:pt>
                <c:pt idx="5">
                  <c:v>15471</c:v>
                </c:pt>
                <c:pt idx="6">
                  <c:v>15471</c:v>
                </c:pt>
                <c:pt idx="7">
                  <c:v>15471</c:v>
                </c:pt>
                <c:pt idx="8">
                  <c:v>15471</c:v>
                </c:pt>
                <c:pt idx="9">
                  <c:v>15471</c:v>
                </c:pt>
                <c:pt idx="10">
                  <c:v>15471</c:v>
                </c:pt>
                <c:pt idx="11">
                  <c:v>15471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D-492C-A632-F7C7B7083293}"/>
            </c:ext>
          </c:extLst>
        </c:ser>
        <c:ser>
          <c:idx val="1"/>
          <c:order val="1"/>
          <c:tx>
            <c:v>تقاضا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Level!$AA$12:$AA$23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 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 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Level!$X$12:$X$23</c:f>
              <c:numCache>
                <c:formatCode>_(* #,##0_);_(* \(#,##0\);_(* "-"??_);_(@_)</c:formatCode>
                <c:ptCount val="12"/>
                <c:pt idx="0">
                  <c:v>15238</c:v>
                </c:pt>
                <c:pt idx="1">
                  <c:v>18155</c:v>
                </c:pt>
                <c:pt idx="2">
                  <c:v>11183</c:v>
                </c:pt>
                <c:pt idx="3">
                  <c:v>12828</c:v>
                </c:pt>
                <c:pt idx="4">
                  <c:v>16086</c:v>
                </c:pt>
                <c:pt idx="5">
                  <c:v>13907</c:v>
                </c:pt>
                <c:pt idx="6">
                  <c:v>10729</c:v>
                </c:pt>
                <c:pt idx="7">
                  <c:v>16211</c:v>
                </c:pt>
                <c:pt idx="8">
                  <c:v>16520</c:v>
                </c:pt>
                <c:pt idx="9">
                  <c:v>19127</c:v>
                </c:pt>
                <c:pt idx="10">
                  <c:v>14824</c:v>
                </c:pt>
                <c:pt idx="11">
                  <c:v>20844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D-492C-A632-F7C7B7083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035679"/>
        <c:axId val="1839030271"/>
      </c:lineChart>
      <c:catAx>
        <c:axId val="183903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839030271"/>
        <c:crosses val="autoZero"/>
        <c:auto val="1"/>
        <c:lblAlgn val="ctr"/>
        <c:lblOffset val="100"/>
        <c:noMultiLvlLbl val="0"/>
      </c:catAx>
      <c:valAx>
        <c:axId val="1839030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83903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تولید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'Hybrid 1'!$W$12:$W$23</c:f>
              <c:numCache>
                <c:formatCode>_(* #,##0_);_(* \(#,##0\);_(* "-"??_);_(@_)</c:formatCode>
                <c:ptCount val="12"/>
                <c:pt idx="0">
                  <c:v>16650</c:v>
                </c:pt>
                <c:pt idx="1">
                  <c:v>16650</c:v>
                </c:pt>
                <c:pt idx="2">
                  <c:v>12800</c:v>
                </c:pt>
                <c:pt idx="3">
                  <c:v>12800</c:v>
                </c:pt>
                <c:pt idx="4">
                  <c:v>12800</c:v>
                </c:pt>
                <c:pt idx="5">
                  <c:v>13302</c:v>
                </c:pt>
                <c:pt idx="6">
                  <c:v>13302</c:v>
                </c:pt>
                <c:pt idx="7">
                  <c:v>15126</c:v>
                </c:pt>
                <c:pt idx="8">
                  <c:v>15126</c:v>
                </c:pt>
                <c:pt idx="9">
                  <c:v>19032</c:v>
                </c:pt>
                <c:pt idx="10">
                  <c:v>19032</c:v>
                </c:pt>
                <c:pt idx="11">
                  <c:v>19032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0F-4660-9413-FB6DE6D07A9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'Hybrid 1'!$X$12:$X$23</c:f>
              <c:numCache>
                <c:formatCode>_(* #,##0_);_(* \(#,##0\);_(* "-"??_);_(@_)</c:formatCode>
                <c:ptCount val="12"/>
                <c:pt idx="0">
                  <c:v>15238</c:v>
                </c:pt>
                <c:pt idx="1">
                  <c:v>18155</c:v>
                </c:pt>
                <c:pt idx="2">
                  <c:v>11183</c:v>
                </c:pt>
                <c:pt idx="3">
                  <c:v>12828</c:v>
                </c:pt>
                <c:pt idx="4">
                  <c:v>16086</c:v>
                </c:pt>
                <c:pt idx="5">
                  <c:v>13907</c:v>
                </c:pt>
                <c:pt idx="6">
                  <c:v>10729</c:v>
                </c:pt>
                <c:pt idx="7">
                  <c:v>16211</c:v>
                </c:pt>
                <c:pt idx="8">
                  <c:v>16520</c:v>
                </c:pt>
                <c:pt idx="9">
                  <c:v>19127</c:v>
                </c:pt>
                <c:pt idx="10">
                  <c:v>14824</c:v>
                </c:pt>
                <c:pt idx="11">
                  <c:v>20844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0F-4660-9413-FB6DE6D07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136335"/>
        <c:axId val="1835139663"/>
      </c:lineChart>
      <c:catAx>
        <c:axId val="18351363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835139663"/>
        <c:crosses val="autoZero"/>
        <c:auto val="1"/>
        <c:lblAlgn val="ctr"/>
        <c:lblOffset val="100"/>
        <c:noMultiLvlLbl val="0"/>
      </c:catAx>
      <c:valAx>
        <c:axId val="183513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835136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تولید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'Hybrid 2'!$W$12:$W$23</c:f>
              <c:numCache>
                <c:formatCode>_(* #,##0_);_(* \(#,##0\);_(* "-"??_);_(@_)</c:formatCode>
                <c:ptCount val="12"/>
                <c:pt idx="0">
                  <c:v>15976</c:v>
                </c:pt>
                <c:pt idx="1">
                  <c:v>15976</c:v>
                </c:pt>
                <c:pt idx="2">
                  <c:v>11966</c:v>
                </c:pt>
                <c:pt idx="3">
                  <c:v>11966</c:v>
                </c:pt>
                <c:pt idx="4">
                  <c:v>15500</c:v>
                </c:pt>
                <c:pt idx="5">
                  <c:v>15500</c:v>
                </c:pt>
                <c:pt idx="6">
                  <c:v>12900</c:v>
                </c:pt>
                <c:pt idx="7">
                  <c:v>12900</c:v>
                </c:pt>
                <c:pt idx="8">
                  <c:v>16000</c:v>
                </c:pt>
                <c:pt idx="9">
                  <c:v>18900</c:v>
                </c:pt>
                <c:pt idx="10">
                  <c:v>18100</c:v>
                </c:pt>
                <c:pt idx="11">
                  <c:v>19968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5C-4334-841B-F54D9AC92BB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'Hybrid 2'!$X$12:$X$23</c:f>
              <c:numCache>
                <c:formatCode>_(* #,##0_);_(* \(#,##0\);_(* "-"??_);_(@_)</c:formatCode>
                <c:ptCount val="12"/>
                <c:pt idx="0">
                  <c:v>15238</c:v>
                </c:pt>
                <c:pt idx="1">
                  <c:v>18155</c:v>
                </c:pt>
                <c:pt idx="2">
                  <c:v>11183</c:v>
                </c:pt>
                <c:pt idx="3">
                  <c:v>12828</c:v>
                </c:pt>
                <c:pt idx="4">
                  <c:v>16086</c:v>
                </c:pt>
                <c:pt idx="5">
                  <c:v>13907</c:v>
                </c:pt>
                <c:pt idx="6">
                  <c:v>10729</c:v>
                </c:pt>
                <c:pt idx="7">
                  <c:v>16211</c:v>
                </c:pt>
                <c:pt idx="8">
                  <c:v>16520</c:v>
                </c:pt>
                <c:pt idx="9">
                  <c:v>19127</c:v>
                </c:pt>
                <c:pt idx="10">
                  <c:v>14824</c:v>
                </c:pt>
                <c:pt idx="11">
                  <c:v>20844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C-4334-841B-F54D9AC92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9363855"/>
        <c:axId val="1739360527"/>
      </c:lineChart>
      <c:catAx>
        <c:axId val="17393638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739360527"/>
        <c:crosses val="autoZero"/>
        <c:auto val="1"/>
        <c:lblAlgn val="ctr"/>
        <c:lblOffset val="100"/>
        <c:noMultiLvlLbl val="0"/>
      </c:catAx>
      <c:valAx>
        <c:axId val="1739360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73936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'Workers Strategy'!$W$12:$W$23</c:f>
              <c:numCache>
                <c:formatCode>_(* #,##0_);_(* \(#,##0\);_(* "-"??_);_(@_)</c:formatCode>
                <c:ptCount val="12"/>
                <c:pt idx="0">
                  <c:v>12838</c:v>
                </c:pt>
                <c:pt idx="1">
                  <c:v>18155</c:v>
                </c:pt>
                <c:pt idx="2">
                  <c:v>11183</c:v>
                </c:pt>
                <c:pt idx="3">
                  <c:v>12828</c:v>
                </c:pt>
                <c:pt idx="4">
                  <c:v>16086</c:v>
                </c:pt>
                <c:pt idx="5">
                  <c:v>13907</c:v>
                </c:pt>
                <c:pt idx="6">
                  <c:v>10729</c:v>
                </c:pt>
                <c:pt idx="7">
                  <c:v>16211</c:v>
                </c:pt>
                <c:pt idx="8">
                  <c:v>16711</c:v>
                </c:pt>
                <c:pt idx="9">
                  <c:v>18936</c:v>
                </c:pt>
                <c:pt idx="10">
                  <c:v>14824</c:v>
                </c:pt>
                <c:pt idx="11">
                  <c:v>23244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E7-4CCC-BFED-ADEA4B0FBAB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'Workers Strategy'!$X$12:$X$23</c:f>
              <c:numCache>
                <c:formatCode>_(* #,##0_);_(* \(#,##0\);_(* "-"??_);_(@_)</c:formatCode>
                <c:ptCount val="12"/>
                <c:pt idx="0">
                  <c:v>15238</c:v>
                </c:pt>
                <c:pt idx="1">
                  <c:v>18155</c:v>
                </c:pt>
                <c:pt idx="2">
                  <c:v>11183</c:v>
                </c:pt>
                <c:pt idx="3">
                  <c:v>12828</c:v>
                </c:pt>
                <c:pt idx="4">
                  <c:v>16086</c:v>
                </c:pt>
                <c:pt idx="5">
                  <c:v>13907</c:v>
                </c:pt>
                <c:pt idx="6">
                  <c:v>10729</c:v>
                </c:pt>
                <c:pt idx="7">
                  <c:v>16211</c:v>
                </c:pt>
                <c:pt idx="8">
                  <c:v>16520</c:v>
                </c:pt>
                <c:pt idx="9">
                  <c:v>19127</c:v>
                </c:pt>
                <c:pt idx="10">
                  <c:v>14824</c:v>
                </c:pt>
                <c:pt idx="11">
                  <c:v>20844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7-4CCC-BFED-ADEA4B0F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434351"/>
        <c:axId val="1964435183"/>
      </c:lineChart>
      <c:catAx>
        <c:axId val="19644343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964435183"/>
        <c:crosses val="autoZero"/>
        <c:auto val="1"/>
        <c:lblAlgn val="ctr"/>
        <c:lblOffset val="100"/>
        <c:noMultiLvlLbl val="0"/>
      </c:catAx>
      <c:valAx>
        <c:axId val="196443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96443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'Inventory Strategy'!$W$8</c:f>
              <c:strCache>
                <c:ptCount val="1"/>
                <c:pt idx="0">
                  <c:v>تولید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'Inventory Strategy'!$W$9:$W$23</c:f>
              <c:numCache>
                <c:formatCode>General</c:formatCode>
                <c:ptCount val="15"/>
                <c:pt idx="2" formatCode="_(* #,##0_);_(* \(#,##0\);_(* &quot;-&quot;??_);_(@_)">
                  <c:v>15471</c:v>
                </c:pt>
                <c:pt idx="3" formatCode="_(* #,##0_);_(* \(#,##0\);_(* &quot;-&quot;??_);_(@_)">
                  <c:v>15976</c:v>
                </c:pt>
                <c:pt idx="4" formatCode="_(* #,##0_);_(* \(#,##0\);_(* &quot;-&quot;??_);_(@_)">
                  <c:v>17200</c:v>
                </c:pt>
                <c:pt idx="5" formatCode="_(* #,##0_);_(* \(#,##0\);_(* &quot;-&quot;??_);_(@_)">
                  <c:v>12250</c:v>
                </c:pt>
                <c:pt idx="6" formatCode="_(* #,##0_);_(* \(#,##0\);_(* &quot;-&quot;??_);_(@_)">
                  <c:v>12250</c:v>
                </c:pt>
                <c:pt idx="7" formatCode="_(* #,##0_);_(* \(#,##0\);_(* &quot;-&quot;??_);_(@_)">
                  <c:v>15500</c:v>
                </c:pt>
                <c:pt idx="8" formatCode="_(* #,##0_);_(* \(#,##0\);_(* &quot;-&quot;??_);_(@_)">
                  <c:v>13850</c:v>
                </c:pt>
                <c:pt idx="9" formatCode="_(* #,##0_);_(* \(#,##0\);_(* &quot;-&quot;??_);_(@_)">
                  <c:v>13850</c:v>
                </c:pt>
                <c:pt idx="10" formatCode="_(* #,##0_);_(* \(#,##0\);_(* &quot;-&quot;??_);_(@_)">
                  <c:v>13850</c:v>
                </c:pt>
                <c:pt idx="11" formatCode="_(* #,##0_);_(* \(#,##0\);_(* &quot;-&quot;??_);_(@_)">
                  <c:v>16000</c:v>
                </c:pt>
                <c:pt idx="12" formatCode="_(* #,##0_);_(* \(#,##0\);_(* &quot;-&quot;??_);_(@_)">
                  <c:v>18900</c:v>
                </c:pt>
                <c:pt idx="13" formatCode="_(* #,##0_);_(* \(#,##0\);_(* &quot;-&quot;??_);_(@_)">
                  <c:v>15900</c:v>
                </c:pt>
                <c:pt idx="14" formatCode="_(* #,##0_);_(* \(#,##0\);_(* &quot;-&quot;??_);_(@_)">
                  <c:v>20126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E2-43C8-A0AC-5FCE0A074861}"/>
            </c:ext>
          </c:extLst>
        </c:ser>
        <c:ser>
          <c:idx val="1"/>
          <c:order val="1"/>
          <c:tx>
            <c:strRef>
              <c:f>'Inventory Strategy'!$X$8</c:f>
              <c:strCache>
                <c:ptCount val="1"/>
                <c:pt idx="0">
                  <c:v>تقاضا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'Inventory Strategy'!$X$9:$X$23</c:f>
              <c:numCache>
                <c:formatCode>General</c:formatCode>
                <c:ptCount val="15"/>
                <c:pt idx="3" formatCode="_(* #,##0_);_(* \(#,##0\);_(* &quot;-&quot;??_);_(@_)">
                  <c:v>15238</c:v>
                </c:pt>
                <c:pt idx="4" formatCode="_(* #,##0_);_(* \(#,##0\);_(* &quot;-&quot;??_);_(@_)">
                  <c:v>18155</c:v>
                </c:pt>
                <c:pt idx="5" formatCode="_(* #,##0_);_(* \(#,##0\);_(* &quot;-&quot;??_);_(@_)">
                  <c:v>11183</c:v>
                </c:pt>
                <c:pt idx="6" formatCode="_(* #,##0_);_(* \(#,##0\);_(* &quot;-&quot;??_);_(@_)">
                  <c:v>12828</c:v>
                </c:pt>
                <c:pt idx="7" formatCode="_(* #,##0_);_(* \(#,##0\);_(* &quot;-&quot;??_);_(@_)">
                  <c:v>16086</c:v>
                </c:pt>
                <c:pt idx="8" formatCode="_(* #,##0_);_(* \(#,##0\);_(* &quot;-&quot;??_);_(@_)">
                  <c:v>13907</c:v>
                </c:pt>
                <c:pt idx="9" formatCode="_(* #,##0_);_(* \(#,##0\);_(* &quot;-&quot;??_);_(@_)">
                  <c:v>10729</c:v>
                </c:pt>
                <c:pt idx="10" formatCode="_(* #,##0_);_(* \(#,##0\);_(* &quot;-&quot;??_);_(@_)">
                  <c:v>16211</c:v>
                </c:pt>
                <c:pt idx="11" formatCode="_(* #,##0_);_(* \(#,##0\);_(* &quot;-&quot;??_);_(@_)">
                  <c:v>16520</c:v>
                </c:pt>
                <c:pt idx="12" formatCode="_(* #,##0_);_(* \(#,##0\);_(* &quot;-&quot;??_);_(@_)">
                  <c:v>19127</c:v>
                </c:pt>
                <c:pt idx="13" formatCode="_(* #,##0_);_(* \(#,##0\);_(* &quot;-&quot;??_);_(@_)">
                  <c:v>14824</c:v>
                </c:pt>
                <c:pt idx="14" formatCode="_(* #,##0_);_(* \(#,##0\);_(* &quot;-&quot;??_);_(@_)">
                  <c:v>20844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E2-43C8-A0AC-5FCE0A074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06367"/>
        <c:axId val="62308863"/>
      </c:lineChart>
      <c:catAx>
        <c:axId val="623063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62308863"/>
        <c:crosses val="autoZero"/>
        <c:auto val="1"/>
        <c:lblAlgn val="ctr"/>
        <c:lblOffset val="100"/>
        <c:noMultiLvlLbl val="0"/>
      </c:catAx>
      <c:valAx>
        <c:axId val="6230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62306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Lingo!$W$8</c:f>
              <c:strCache>
                <c:ptCount val="1"/>
                <c:pt idx="0">
                  <c:v>تولید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Lingo!$W$9:$W$23</c:f>
              <c:numCache>
                <c:formatCode>General</c:formatCode>
                <c:ptCount val="15"/>
                <c:pt idx="2" formatCode="_(* #,##0_);_(* \(#,##0\);_(* &quot;-&quot;??_);_(@_)">
                  <c:v>15471</c:v>
                </c:pt>
                <c:pt idx="3" formatCode="_(* #,##0_);_(* \(#,##0\);_(* &quot;-&quot;??_);_(@_)">
                  <c:v>14845</c:v>
                </c:pt>
                <c:pt idx="4" formatCode="_(* #,##0_);_(* \(#,##0\);_(* &quot;-&quot;??_);_(@_)">
                  <c:v>16148</c:v>
                </c:pt>
                <c:pt idx="5" formatCode="_(* #,##0_);_(* \(#,##0\);_(* &quot;-&quot;??_);_(@_)">
                  <c:v>13197</c:v>
                </c:pt>
                <c:pt idx="6" formatCode="_(* #,##0_);_(* \(#,##0\);_(* &quot;-&quot;??_);_(@_)">
                  <c:v>14297</c:v>
                </c:pt>
                <c:pt idx="7" formatCode="_(* #,##0_);_(* \(#,##0\);_(* &quot;-&quot;??_);_(@_)">
                  <c:v>12648</c:v>
                </c:pt>
                <c:pt idx="8" formatCode="_(* #,##0_);_(* \(#,##0\);_(* &quot;-&quot;??_);_(@_)">
                  <c:v>14847</c:v>
                </c:pt>
                <c:pt idx="9" formatCode="_(* #,##0_);_(* \(#,##0\);_(* &quot;-&quot;??_);_(@_)">
                  <c:v>11548</c:v>
                </c:pt>
                <c:pt idx="10" formatCode="_(* #,##0_);_(* \(#,##0\);_(* &quot;-&quot;??_);_(@_)">
                  <c:v>14484</c:v>
                </c:pt>
                <c:pt idx="11" formatCode="_(* #,##0_);_(* \(#,##0\);_(* &quot;-&quot;??_);_(@_)">
                  <c:v>16723</c:v>
                </c:pt>
                <c:pt idx="12" formatCode="_(* #,##0_);_(* \(#,##0\);_(* &quot;-&quot;??_);_(@_)">
                  <c:v>19762</c:v>
                </c:pt>
                <c:pt idx="13" formatCode="_(* #,##0_);_(* \(#,##0\);_(* &quot;-&quot;??_);_(@_)">
                  <c:v>18181</c:v>
                </c:pt>
                <c:pt idx="14" formatCode="_(* #,##0_);_(* \(#,##0\);_(* &quot;-&quot;??_);_(@_)">
                  <c:v>18972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0-48CC-A110-4AEE9AA58E31}"/>
            </c:ext>
          </c:extLst>
        </c:ser>
        <c:ser>
          <c:idx val="1"/>
          <c:order val="1"/>
          <c:tx>
            <c:strRef>
              <c:f>Lingo!$X$8</c:f>
              <c:strCache>
                <c:ptCount val="1"/>
                <c:pt idx="0">
                  <c:v>تقاضا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Lingo!$X$9:$X$23</c:f>
              <c:numCache>
                <c:formatCode>General</c:formatCode>
                <c:ptCount val="15"/>
                <c:pt idx="3" formatCode="_(* #,##0_);_(* \(#,##0\);_(* &quot;-&quot;??_);_(@_)">
                  <c:v>15238</c:v>
                </c:pt>
                <c:pt idx="4" formatCode="_(* #,##0_);_(* \(#,##0\);_(* &quot;-&quot;??_);_(@_)">
                  <c:v>18155</c:v>
                </c:pt>
                <c:pt idx="5" formatCode="_(* #,##0_);_(* \(#,##0\);_(* &quot;-&quot;??_);_(@_)">
                  <c:v>11183</c:v>
                </c:pt>
                <c:pt idx="6" formatCode="_(* #,##0_);_(* \(#,##0\);_(* &quot;-&quot;??_);_(@_)">
                  <c:v>12828</c:v>
                </c:pt>
                <c:pt idx="7" formatCode="_(* #,##0_);_(* \(#,##0\);_(* &quot;-&quot;??_);_(@_)">
                  <c:v>16086</c:v>
                </c:pt>
                <c:pt idx="8" formatCode="_(* #,##0_);_(* \(#,##0\);_(* &quot;-&quot;??_);_(@_)">
                  <c:v>13907</c:v>
                </c:pt>
                <c:pt idx="9" formatCode="_(* #,##0_);_(* \(#,##0\);_(* &quot;-&quot;??_);_(@_)">
                  <c:v>10729</c:v>
                </c:pt>
                <c:pt idx="10" formatCode="_(* #,##0_);_(* \(#,##0\);_(* &quot;-&quot;??_);_(@_)">
                  <c:v>16211</c:v>
                </c:pt>
                <c:pt idx="11" formatCode="_(* #,##0_);_(* \(#,##0\);_(* &quot;-&quot;??_);_(@_)">
                  <c:v>16520</c:v>
                </c:pt>
                <c:pt idx="12" formatCode="_(* #,##0_);_(* \(#,##0\);_(* &quot;-&quot;??_);_(@_)">
                  <c:v>19127</c:v>
                </c:pt>
                <c:pt idx="13" formatCode="_(* #,##0_);_(* \(#,##0\);_(* &quot;-&quot;??_);_(@_)">
                  <c:v>14824</c:v>
                </c:pt>
                <c:pt idx="14" formatCode="_(* #,##0_);_(* \(#,##0\);_(* &quot;-&quot;??_);_(@_)">
                  <c:v>20844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0-48CC-A110-4AEE9AA58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06367"/>
        <c:axId val="62308863"/>
      </c:lineChart>
      <c:catAx>
        <c:axId val="623063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62308863"/>
        <c:crosses val="autoZero"/>
        <c:auto val="1"/>
        <c:lblAlgn val="ctr"/>
        <c:lblOffset val="100"/>
        <c:noMultiLvlLbl val="0"/>
      </c:catAx>
      <c:valAx>
        <c:axId val="6230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62306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Result!$C$4</c:f>
              <c:strCache>
                <c:ptCount val="1"/>
                <c:pt idx="0">
                  <c:v>نگهداري و کمبود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Result!$B$5:$B$12</c:f>
              <c:strCache>
                <c:ptCount val="8"/>
                <c:pt idx="1">
                  <c:v>Mixed Chase</c:v>
                </c:pt>
                <c:pt idx="2">
                  <c:v>Level</c:v>
                </c:pt>
                <c:pt idx="3">
                  <c:v>Hybrid 1</c:v>
                </c:pt>
                <c:pt idx="4">
                  <c:v>Hybrid 2</c:v>
                </c:pt>
                <c:pt idx="5">
                  <c:v>Workers Strategy</c:v>
                </c:pt>
                <c:pt idx="6">
                  <c:v>Inventory Strategy</c:v>
                </c:pt>
                <c:pt idx="7">
                  <c:v>Lingo</c:v>
                </c:pt>
              </c:strCache>
            </c:strRef>
          </c:cat>
          <c:val>
            <c:numRef>
              <c:f>Result!$C$5:$C$12</c:f>
              <c:numCache>
                <c:formatCode>_(* #,##0_);_(* \(#,##0\);_(* "-"??_);_(@_)</c:formatCode>
                <c:ptCount val="8"/>
                <c:pt idx="1">
                  <c:v>41456000</c:v>
                </c:pt>
                <c:pt idx="2">
                  <c:v>1298237000</c:v>
                </c:pt>
                <c:pt idx="3">
                  <c:v>405440000</c:v>
                </c:pt>
                <c:pt idx="4">
                  <c:v>313728000</c:v>
                </c:pt>
                <c:pt idx="5">
                  <c:v>41456000</c:v>
                </c:pt>
                <c:pt idx="6">
                  <c:v>530016000</c:v>
                </c:pt>
                <c:pt idx="7">
                  <c:v>292512000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6-4C2D-A9A4-C3C8AC9204F0}"/>
            </c:ext>
          </c:extLst>
        </c:ser>
        <c:ser>
          <c:idx val="1"/>
          <c:order val="1"/>
          <c:tx>
            <c:strRef>
              <c:f>Result!$D$4</c:f>
              <c:strCache>
                <c:ptCount val="1"/>
                <c:pt idx="0">
                  <c:v>اضافه کاري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Result!$B$5:$B$12</c:f>
              <c:strCache>
                <c:ptCount val="8"/>
                <c:pt idx="1">
                  <c:v>Mixed Chase</c:v>
                </c:pt>
                <c:pt idx="2">
                  <c:v>Level</c:v>
                </c:pt>
                <c:pt idx="3">
                  <c:v>Hybrid 1</c:v>
                </c:pt>
                <c:pt idx="4">
                  <c:v>Hybrid 2</c:v>
                </c:pt>
                <c:pt idx="5">
                  <c:v>Workers Strategy</c:v>
                </c:pt>
                <c:pt idx="6">
                  <c:v>Inventory Strategy</c:v>
                </c:pt>
                <c:pt idx="7">
                  <c:v>Lingo</c:v>
                </c:pt>
              </c:strCache>
            </c:strRef>
          </c:cat>
          <c:val>
            <c:numRef>
              <c:f>Result!$D$5:$D$12</c:f>
              <c:numCache>
                <c:formatCode>_(* #,##0_);_(* \(#,##0\);_(* "-"??_);_(@_)</c:formatCode>
                <c:ptCount val="8"/>
                <c:pt idx="1">
                  <c:v>257192727.27272725</c:v>
                </c:pt>
                <c:pt idx="2">
                  <c:v>0</c:v>
                </c:pt>
                <c:pt idx="3">
                  <c:v>140596363.63636366</c:v>
                </c:pt>
                <c:pt idx="4">
                  <c:v>179258181.81818181</c:v>
                </c:pt>
                <c:pt idx="5">
                  <c:v>342196363.63636369</c:v>
                </c:pt>
                <c:pt idx="6">
                  <c:v>263301818.18181816</c:v>
                </c:pt>
                <c:pt idx="7">
                  <c:v>30327272.72727273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6-4C2D-A9A4-C3C8AC9204F0}"/>
            </c:ext>
          </c:extLst>
        </c:ser>
        <c:ser>
          <c:idx val="2"/>
          <c:order val="2"/>
          <c:tx>
            <c:strRef>
              <c:f>Result!$E$4</c:f>
              <c:strCache>
                <c:ptCount val="1"/>
                <c:pt idx="0">
                  <c:v>بکارگيري / بيکار کردن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Result!$B$5:$B$12</c:f>
              <c:strCache>
                <c:ptCount val="8"/>
                <c:pt idx="1">
                  <c:v>Mixed Chase</c:v>
                </c:pt>
                <c:pt idx="2">
                  <c:v>Level</c:v>
                </c:pt>
                <c:pt idx="3">
                  <c:v>Hybrid 1</c:v>
                </c:pt>
                <c:pt idx="4">
                  <c:v>Hybrid 2</c:v>
                </c:pt>
                <c:pt idx="5">
                  <c:v>Workers Strategy</c:v>
                </c:pt>
                <c:pt idx="6">
                  <c:v>Inventory Strategy</c:v>
                </c:pt>
                <c:pt idx="7">
                  <c:v>Lingo</c:v>
                </c:pt>
              </c:strCache>
            </c:strRef>
          </c:cat>
          <c:val>
            <c:numRef>
              <c:f>Result!$E$5:$E$12</c:f>
              <c:numCache>
                <c:formatCode>_(* #,##0_);_(* \(#,##0\);_(* "-"??_);_(@_)</c:formatCode>
                <c:ptCount val="8"/>
                <c:pt idx="1">
                  <c:v>1437400000</c:v>
                </c:pt>
                <c:pt idx="2">
                  <c:v>737300000</c:v>
                </c:pt>
                <c:pt idx="3">
                  <c:v>565600000</c:v>
                </c:pt>
                <c:pt idx="4">
                  <c:v>331200000</c:v>
                </c:pt>
                <c:pt idx="5">
                  <c:v>412800000</c:v>
                </c:pt>
                <c:pt idx="6">
                  <c:v>282400000</c:v>
                </c:pt>
                <c:pt idx="7">
                  <c:v>458300000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6-4C2D-A9A4-C3C8AC9204F0}"/>
            </c:ext>
          </c:extLst>
        </c:ser>
        <c:ser>
          <c:idx val="3"/>
          <c:order val="3"/>
          <c:tx>
            <c:strRef>
              <c:f>Result!$F$4</c:f>
              <c:strCache>
                <c:ptCount val="1"/>
                <c:pt idx="0">
                  <c:v>ساعات بيکاري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Result!$B$5:$B$12</c:f>
              <c:strCache>
                <c:ptCount val="8"/>
                <c:pt idx="1">
                  <c:v>Mixed Chase</c:v>
                </c:pt>
                <c:pt idx="2">
                  <c:v>Level</c:v>
                </c:pt>
                <c:pt idx="3">
                  <c:v>Hybrid 1</c:v>
                </c:pt>
                <c:pt idx="4">
                  <c:v>Hybrid 2</c:v>
                </c:pt>
                <c:pt idx="5">
                  <c:v>Workers Strategy</c:v>
                </c:pt>
                <c:pt idx="6">
                  <c:v>Inventory Strategy</c:v>
                </c:pt>
                <c:pt idx="7">
                  <c:v>Lingo</c:v>
                </c:pt>
              </c:strCache>
            </c:strRef>
          </c:cat>
          <c:val>
            <c:numRef>
              <c:f>Result!$F$5:$F$12</c:f>
              <c:numCache>
                <c:formatCode>_(* #,##0_);_(* \(#,##0\);_(* "-"??_);_(@_)</c:formatCode>
                <c:ptCount val="8"/>
                <c:pt idx="1">
                  <c:v>15834000</c:v>
                </c:pt>
                <c:pt idx="2">
                  <c:v>30580500</c:v>
                </c:pt>
                <c:pt idx="3">
                  <c:v>151626500</c:v>
                </c:pt>
                <c:pt idx="4">
                  <c:v>378058500</c:v>
                </c:pt>
                <c:pt idx="5">
                  <c:v>509051500</c:v>
                </c:pt>
                <c:pt idx="6">
                  <c:v>495885500</c:v>
                </c:pt>
                <c:pt idx="7">
                  <c:v>5974000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26-4C2D-A9A4-C3C8AC9204F0}"/>
            </c:ext>
          </c:extLst>
        </c:ser>
        <c:ser>
          <c:idx val="4"/>
          <c:order val="4"/>
          <c:tx>
            <c:strRef>
              <c:f>Result!$G$4</c:f>
              <c:strCache>
                <c:ptCount val="1"/>
                <c:pt idx="0">
                  <c:v>کل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Result!$B$5:$B$12</c:f>
              <c:strCache>
                <c:ptCount val="8"/>
                <c:pt idx="1">
                  <c:v>Mixed Chase</c:v>
                </c:pt>
                <c:pt idx="2">
                  <c:v>Level</c:v>
                </c:pt>
                <c:pt idx="3">
                  <c:v>Hybrid 1</c:v>
                </c:pt>
                <c:pt idx="4">
                  <c:v>Hybrid 2</c:v>
                </c:pt>
                <c:pt idx="5">
                  <c:v>Workers Strategy</c:v>
                </c:pt>
                <c:pt idx="6">
                  <c:v>Inventory Strategy</c:v>
                </c:pt>
                <c:pt idx="7">
                  <c:v>Lingo</c:v>
                </c:pt>
              </c:strCache>
            </c:strRef>
          </c:cat>
          <c:val>
            <c:numRef>
              <c:f>Result!$G$5:$G$12</c:f>
              <c:numCache>
                <c:formatCode>_(* #,##0_);_(* \(#,##0\);_(* "-"??_);_(@_)</c:formatCode>
                <c:ptCount val="8"/>
                <c:pt idx="1">
                  <c:v>1751882727.2727273</c:v>
                </c:pt>
                <c:pt idx="2">
                  <c:v>2066117500</c:v>
                </c:pt>
                <c:pt idx="3">
                  <c:v>1263262863.6363635</c:v>
                </c:pt>
                <c:pt idx="4">
                  <c:v>1202244681.8181818</c:v>
                </c:pt>
                <c:pt idx="5">
                  <c:v>1305503863.6363637</c:v>
                </c:pt>
                <c:pt idx="6">
                  <c:v>1571603318.181818</c:v>
                </c:pt>
                <c:pt idx="7">
                  <c:v>787113272.72727275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26-4C2D-A9A4-C3C8AC920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272303"/>
        <c:axId val="232283535"/>
      </c:barChart>
      <c:catAx>
        <c:axId val="232272303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232283535"/>
        <c:crosses val="autoZero"/>
        <c:auto val="1"/>
        <c:lblAlgn val="ctr"/>
        <c:lblOffset val="100"/>
        <c:noMultiLvlLbl val="0"/>
      </c:catAx>
      <c:valAx>
        <c:axId val="23228353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232272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</cx:f>
      </cx:strDim>
      <cx:numDim type="size">
        <cx:f dir="row">_xlchart.v1.0</cx:f>
      </cx:numDim>
    </cx:data>
  </cx:chartData>
  <cx:chart>
    <cx:plotArea>
      <cx:plotAreaRegion>
        <cx:series layoutId="treemap" uniqueId="{AD11882F-5393-4F7B-A4A6-3A3E3BC9C7D7}"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400"/>
          </a:pPr>
          <a:endParaRPr lang="en-US" sz="14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_xlchart.v1.3</cx:f>
      </cx:strDim>
      <cx:numDim type="size">
        <cx:f dir="row">_xlchart.v1.2</cx:f>
      </cx:numDim>
    </cx:data>
  </cx:chartData>
  <cx:chart>
    <cx:plotArea>
      <cx:plotAreaRegion>
        <cx:series layoutId="treemap" uniqueId="{0DF23BF0-D580-4F27-8C6A-F76D1F2A5BA5}"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600"/>
          </a:pPr>
          <a:endParaRPr lang="en-US" sz="16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_xlchart.v1.5</cx:f>
      </cx:strDim>
      <cx:numDim type="size">
        <cx:f dir="row">_xlchart.v1.4</cx:f>
      </cx:numDim>
    </cx:data>
  </cx:chartData>
  <cx:chart>
    <cx:plotArea>
      <cx:plotAreaRegion>
        <cx:series layoutId="treemap" uniqueId="{285DB87D-DE88-4D38-8ADE-DBCE19E6563B}"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600"/>
          </a:pPr>
          <a:endParaRPr lang="en-US" sz="16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_xlchart.v1.7</cx:f>
      </cx:strDim>
      <cx:numDim type="size">
        <cx:f dir="row">_xlchart.v1.6</cx:f>
      </cx:numDim>
    </cx:data>
  </cx:chartData>
  <cx:chart>
    <cx:plotArea>
      <cx:plotAreaRegion>
        <cx:series layoutId="treemap" uniqueId="{495BD868-931A-4CBD-991C-E840123A9ACE}"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600"/>
          </a:pPr>
          <a:endParaRPr lang="en-US" sz="16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_xlchart.v1.9</cx:f>
      </cx:strDim>
      <cx:numDim type="size">
        <cx:f dir="row">_xlchart.v1.8</cx:f>
      </cx:numDim>
    </cx:data>
  </cx:chartData>
  <cx:chart>
    <cx:plotArea>
      <cx:plotAreaRegion>
        <cx:series layoutId="treemap" uniqueId="{55726DF0-8DDD-4DE9-A83B-DB4FFE5D6483}"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600"/>
          </a:pPr>
          <a:endParaRPr lang="en-US" sz="16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_xlchart.v1.11</cx:f>
      </cx:strDim>
      <cx:numDim type="size">
        <cx:f dir="row">_xlchart.v1.10</cx:f>
      </cx:numDim>
    </cx:data>
  </cx:chartData>
  <cx:chart>
    <cx:plotArea>
      <cx:plotAreaRegion>
        <cx:series layoutId="treemap" uniqueId="{033301C9-A5CE-404F-BA75-F249E0E8E98B}"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600"/>
          </a:pPr>
          <a:endParaRPr lang="en-US" sz="16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_xlchart.v1.13</cx:f>
      </cx:strDim>
      <cx:numDim type="size">
        <cx:f dir="row">_xlchart.v1.12</cx:f>
      </cx:numDim>
    </cx:data>
  </cx:chartData>
  <cx:chart>
    <cx:plotArea>
      <cx:plotAreaRegion>
        <cx:series layoutId="treemap" uniqueId="{033301C9-A5CE-404F-BA75-F249E0E8E98B}"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600"/>
          </a:pPr>
          <a:endParaRPr lang="en-US" sz="16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ingo!A1"/><Relationship Id="rId3" Type="http://schemas.openxmlformats.org/officeDocument/2006/relationships/hyperlink" Target="#level!A1"/><Relationship Id="rId7" Type="http://schemas.openxmlformats.org/officeDocument/2006/relationships/hyperlink" Target="#'Inventory Strategy'!A1"/><Relationship Id="rId2" Type="http://schemas.openxmlformats.org/officeDocument/2006/relationships/hyperlink" Target="#'Mixed Chase'!A1"/><Relationship Id="rId1" Type="http://schemas.openxmlformats.org/officeDocument/2006/relationships/image" Target="../media/image1.png"/><Relationship Id="rId6" Type="http://schemas.openxmlformats.org/officeDocument/2006/relationships/hyperlink" Target="#'Workers Strategy'!A1"/><Relationship Id="rId5" Type="http://schemas.openxmlformats.org/officeDocument/2006/relationships/hyperlink" Target="#'Hybrid 2'!A1"/><Relationship Id="rId4" Type="http://schemas.openxmlformats.org/officeDocument/2006/relationships/hyperlink" Target="#'Hybrid 1'!A1"/><Relationship Id="rId9" Type="http://schemas.openxmlformats.org/officeDocument/2006/relationships/hyperlink" Target="#Result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microsoft.com/office/2014/relationships/chartEx" Target="../charts/chartEx1.xml"/><Relationship Id="rId5" Type="http://schemas.openxmlformats.org/officeDocument/2006/relationships/image" Target="../media/image3.sv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ME!A1"/><Relationship Id="rId1" Type="http://schemas.openxmlformats.org/officeDocument/2006/relationships/chart" Target="../charts/chart3.xml"/><Relationship Id="rId5" Type="http://schemas.microsoft.com/office/2014/relationships/chartEx" Target="../charts/chartEx2.xml"/><Relationship Id="rId4" Type="http://schemas.openxmlformats.org/officeDocument/2006/relationships/image" Target="../media/image3.sv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ME!A1"/><Relationship Id="rId1" Type="http://schemas.openxmlformats.org/officeDocument/2006/relationships/chart" Target="../charts/chart4.xml"/><Relationship Id="rId5" Type="http://schemas.microsoft.com/office/2014/relationships/chartEx" Target="../charts/chartEx3.xml"/><Relationship Id="rId4" Type="http://schemas.openxmlformats.org/officeDocument/2006/relationships/image" Target="../media/image3.sv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ME!A1"/><Relationship Id="rId1" Type="http://schemas.openxmlformats.org/officeDocument/2006/relationships/chart" Target="../charts/chart5.xml"/><Relationship Id="rId5" Type="http://schemas.microsoft.com/office/2014/relationships/chartEx" Target="../charts/chartEx4.xml"/><Relationship Id="rId4" Type="http://schemas.openxmlformats.org/officeDocument/2006/relationships/image" Target="../media/image3.sv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ME!A1"/><Relationship Id="rId1" Type="http://schemas.openxmlformats.org/officeDocument/2006/relationships/chart" Target="../charts/chart6.xml"/><Relationship Id="rId5" Type="http://schemas.microsoft.com/office/2014/relationships/chartEx" Target="../charts/chartEx5.xml"/><Relationship Id="rId4" Type="http://schemas.openxmlformats.org/officeDocument/2006/relationships/image" Target="../media/image3.sv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hyperlink" Target="#HOME!A1"/><Relationship Id="rId5" Type="http://schemas.microsoft.com/office/2014/relationships/chartEx" Target="../charts/chartEx6.xml"/><Relationship Id="rId4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hyperlink" Target="#HOME!A1"/><Relationship Id="rId5" Type="http://schemas.microsoft.com/office/2014/relationships/chartEx" Target="../charts/chartEx7.xml"/><Relationship Id="rId4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ustomXml" Target="../ink/ink1.xml"/><Relationship Id="rId13" Type="http://schemas.openxmlformats.org/officeDocument/2006/relationships/image" Target="../media/image10.png"/><Relationship Id="rId3" Type="http://schemas.openxmlformats.org/officeDocument/2006/relationships/image" Target="../media/image4.png"/><Relationship Id="rId7" Type="http://schemas.openxmlformats.org/officeDocument/2006/relationships/image" Target="../media/image7.svg"/><Relationship Id="rId12" Type="http://schemas.openxmlformats.org/officeDocument/2006/relationships/hyperlink" Target="#HOME!A1"/><Relationship Id="rId2" Type="http://schemas.openxmlformats.org/officeDocument/2006/relationships/hyperlink" Target="https://drive.google.com/file/d/146zeHGZgg6iqC4B6aGP_ihH_FmbPTUld/view?usp=sharing" TargetMode="External"/><Relationship Id="rId1" Type="http://schemas.openxmlformats.org/officeDocument/2006/relationships/chart" Target="../charts/chart9.xml"/><Relationship Id="rId6" Type="http://schemas.openxmlformats.org/officeDocument/2006/relationships/image" Target="../media/image6.png"/><Relationship Id="rId11" Type="http://schemas.openxmlformats.org/officeDocument/2006/relationships/image" Target="../media/image9.png"/><Relationship Id="rId5" Type="http://schemas.openxmlformats.org/officeDocument/2006/relationships/hyperlink" Target="https://drive.google.com/file/d/1B6YWdA8rxAdL9z9FqgK3pz07-u_2mnIB/view?usp=sharing" TargetMode="External"/><Relationship Id="rId10" Type="http://schemas.openxmlformats.org/officeDocument/2006/relationships/customXml" Target="../ink/ink2.xml"/><Relationship Id="rId4" Type="http://schemas.openxmlformats.org/officeDocument/2006/relationships/image" Target="../media/image5.svg"/><Relationship Id="rId9" Type="http://schemas.openxmlformats.org/officeDocument/2006/relationships/image" Target="../media/image8.png"/><Relationship Id="rId14" Type="http://schemas.openxmlformats.org/officeDocument/2006/relationships/image" Target="../media/image11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2</xdr:row>
      <xdr:rowOff>28575</xdr:rowOff>
    </xdr:from>
    <xdr:to>
      <xdr:col>7</xdr:col>
      <xdr:colOff>142875</xdr:colOff>
      <xdr:row>21</xdr:row>
      <xdr:rowOff>170178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2E86CF-0A76-4811-A0EC-A605F85EA8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8F9FA"/>
            </a:clrFrom>
            <a:clrTo>
              <a:srgbClr val="F8F9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82" r="30882"/>
        <a:stretch/>
      </xdr:blipFill>
      <xdr:spPr>
        <a:xfrm>
          <a:off x="323849" y="390525"/>
          <a:ext cx="4619626" cy="3580128"/>
        </a:xfrm>
        <a:prstGeom prst="rect">
          <a:avLst/>
        </a:prstGeom>
      </xdr:spPr>
    </xdr:pic>
    <xdr:clientData/>
  </xdr:twoCellAnchor>
  <xdr:twoCellAnchor>
    <xdr:from>
      <xdr:col>8</xdr:col>
      <xdr:colOff>28575</xdr:colOff>
      <xdr:row>7</xdr:row>
      <xdr:rowOff>19050</xdr:rowOff>
    </xdr:from>
    <xdr:to>
      <xdr:col>15</xdr:col>
      <xdr:colOff>0</xdr:colOff>
      <xdr:row>14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DFD9D02-47A7-41EB-91DD-4BD146416A8D}"/>
            </a:ext>
          </a:extLst>
        </xdr:cNvPr>
        <xdr:cNvSpPr txBox="1"/>
      </xdr:nvSpPr>
      <xdr:spPr>
        <a:xfrm>
          <a:off x="5514975" y="1285875"/>
          <a:ext cx="4772025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l" rtl="0"/>
          <a:r>
            <a:rPr lang="en-US" sz="2400">
              <a:solidFill>
                <a:schemeClr val="accent2">
                  <a:lumMod val="75000"/>
                </a:schemeClr>
              </a:solidFill>
            </a:rPr>
            <a:t>Production Planning 3992</a:t>
          </a:r>
        </a:p>
        <a:p>
          <a:pPr algn="l" rtl="0"/>
          <a:r>
            <a:rPr lang="en-US" sz="1600">
              <a:solidFill>
                <a:schemeClr val="accent2">
                  <a:lumMod val="75000"/>
                </a:schemeClr>
              </a:solidFill>
            </a:rPr>
            <a:t>Mixed Production scheduling</a:t>
          </a:r>
          <a:endParaRPr lang="en-US" sz="2400">
            <a:solidFill>
              <a:schemeClr val="accent2">
                <a:lumMod val="75000"/>
              </a:schemeClr>
            </a:solidFill>
          </a:endParaRPr>
        </a:p>
        <a:p>
          <a:pPr algn="l" rtl="0"/>
          <a:r>
            <a:rPr lang="en-US" sz="2400">
              <a:solidFill>
                <a:schemeClr val="accent2">
                  <a:lumMod val="75000"/>
                </a:schemeClr>
              </a:solidFill>
            </a:rPr>
            <a:t>-------</a:t>
          </a:r>
        </a:p>
        <a:p>
          <a:pPr algn="l" rtl="0"/>
          <a:r>
            <a:rPr lang="en-US" sz="1400" b="0">
              <a:solidFill>
                <a:sysClr val="windowText" lastClr="000000"/>
              </a:solidFill>
            </a:rPr>
            <a:t>Sina</a:t>
          </a:r>
          <a:r>
            <a:rPr lang="en-US" sz="1400" b="0" baseline="0">
              <a:solidFill>
                <a:sysClr val="windowText" lastClr="000000"/>
              </a:solidFill>
            </a:rPr>
            <a:t> Amirhajloo, Milad Maleki, Ali Jooyafar</a:t>
          </a:r>
          <a:endParaRPr lang="fa-IR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95249</xdr:colOff>
      <xdr:row>15</xdr:row>
      <xdr:rowOff>77787</xdr:rowOff>
    </xdr:from>
    <xdr:to>
      <xdr:col>11</xdr:col>
      <xdr:colOff>228601</xdr:colOff>
      <xdr:row>17</xdr:row>
      <xdr:rowOff>49212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11EBC843-A070-485D-A146-362DD82C69F6}"/>
            </a:ext>
          </a:extLst>
        </xdr:cNvPr>
        <xdr:cNvSpPr/>
      </xdr:nvSpPr>
      <xdr:spPr>
        <a:xfrm>
          <a:off x="5581649" y="2792412"/>
          <a:ext cx="2190752" cy="3333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r>
            <a:rPr lang="en-US" sz="1100"/>
            <a:t>Mixed</a:t>
          </a:r>
          <a:r>
            <a:rPr lang="en-US" sz="1100" baseline="0"/>
            <a:t> Chase			</a:t>
          </a:r>
          <a:endParaRPr lang="fa-IR" sz="1100"/>
        </a:p>
      </xdr:txBody>
    </xdr:sp>
    <xdr:clientData/>
  </xdr:twoCellAnchor>
  <xdr:twoCellAnchor>
    <xdr:from>
      <xdr:col>8</xdr:col>
      <xdr:colOff>95249</xdr:colOff>
      <xdr:row>17</xdr:row>
      <xdr:rowOff>115660</xdr:rowOff>
    </xdr:from>
    <xdr:to>
      <xdr:col>11</xdr:col>
      <xdr:colOff>228601</xdr:colOff>
      <xdr:row>19</xdr:row>
      <xdr:rowOff>87085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63DDBD54-FA02-474A-B432-6FA345F0BE3C}"/>
            </a:ext>
          </a:extLst>
        </xdr:cNvPr>
        <xdr:cNvSpPr/>
      </xdr:nvSpPr>
      <xdr:spPr>
        <a:xfrm>
          <a:off x="5581649" y="3192235"/>
          <a:ext cx="2190752" cy="3333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r>
            <a:rPr lang="en-US" sz="1100"/>
            <a:t>Level</a:t>
          </a:r>
          <a:endParaRPr lang="fa-IR" sz="1100"/>
        </a:p>
      </xdr:txBody>
    </xdr:sp>
    <xdr:clientData/>
  </xdr:twoCellAnchor>
  <xdr:twoCellAnchor>
    <xdr:from>
      <xdr:col>8</xdr:col>
      <xdr:colOff>95249</xdr:colOff>
      <xdr:row>19</xdr:row>
      <xdr:rowOff>153533</xdr:rowOff>
    </xdr:from>
    <xdr:to>
      <xdr:col>11</xdr:col>
      <xdr:colOff>228601</xdr:colOff>
      <xdr:row>21</xdr:row>
      <xdr:rowOff>124958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695F4AC4-D935-412D-8449-170861B1EFBB}"/>
            </a:ext>
          </a:extLst>
        </xdr:cNvPr>
        <xdr:cNvSpPr/>
      </xdr:nvSpPr>
      <xdr:spPr>
        <a:xfrm>
          <a:off x="5581649" y="3592058"/>
          <a:ext cx="2190752" cy="3333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r>
            <a:rPr lang="en-US" sz="1100"/>
            <a:t>Hybrid 1</a:t>
          </a:r>
          <a:endParaRPr lang="fa-IR" sz="1100"/>
        </a:p>
      </xdr:txBody>
    </xdr:sp>
    <xdr:clientData/>
  </xdr:twoCellAnchor>
  <xdr:twoCellAnchor>
    <xdr:from>
      <xdr:col>8</xdr:col>
      <xdr:colOff>95249</xdr:colOff>
      <xdr:row>22</xdr:row>
      <xdr:rowOff>10431</xdr:rowOff>
    </xdr:from>
    <xdr:to>
      <xdr:col>11</xdr:col>
      <xdr:colOff>228601</xdr:colOff>
      <xdr:row>23</xdr:row>
      <xdr:rowOff>162831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5C1010B0-5E75-406E-8248-A0246E303D65}"/>
            </a:ext>
          </a:extLst>
        </xdr:cNvPr>
        <xdr:cNvSpPr/>
      </xdr:nvSpPr>
      <xdr:spPr>
        <a:xfrm>
          <a:off x="5581649" y="3991881"/>
          <a:ext cx="2190752" cy="3333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r>
            <a:rPr lang="en-US" sz="1100"/>
            <a:t>Hybrid 2</a:t>
          </a:r>
          <a:endParaRPr lang="fa-IR" sz="1100"/>
        </a:p>
      </xdr:txBody>
    </xdr:sp>
    <xdr:clientData/>
  </xdr:twoCellAnchor>
  <xdr:twoCellAnchor>
    <xdr:from>
      <xdr:col>8</xdr:col>
      <xdr:colOff>95249</xdr:colOff>
      <xdr:row>24</xdr:row>
      <xdr:rowOff>48304</xdr:rowOff>
    </xdr:from>
    <xdr:to>
      <xdr:col>11</xdr:col>
      <xdr:colOff>228601</xdr:colOff>
      <xdr:row>26</xdr:row>
      <xdr:rowOff>19729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FD4B1EE8-464A-4E6C-8B19-B19DCD94863F}"/>
            </a:ext>
          </a:extLst>
        </xdr:cNvPr>
        <xdr:cNvSpPr/>
      </xdr:nvSpPr>
      <xdr:spPr>
        <a:xfrm>
          <a:off x="5581649" y="4391704"/>
          <a:ext cx="2190752" cy="3333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r>
            <a:rPr lang="en-US" sz="1100"/>
            <a:t>Strategy No. 1: Workers Stability</a:t>
          </a:r>
          <a:endParaRPr lang="fa-IR" sz="1100"/>
        </a:p>
      </xdr:txBody>
    </xdr:sp>
    <xdr:clientData/>
  </xdr:twoCellAnchor>
  <xdr:twoCellAnchor>
    <xdr:from>
      <xdr:col>8</xdr:col>
      <xdr:colOff>95249</xdr:colOff>
      <xdr:row>26</xdr:row>
      <xdr:rowOff>86177</xdr:rowOff>
    </xdr:from>
    <xdr:to>
      <xdr:col>11</xdr:col>
      <xdr:colOff>228601</xdr:colOff>
      <xdr:row>28</xdr:row>
      <xdr:rowOff>57602</xdr:rowOff>
    </xdr:to>
    <xdr:sp macro="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28189FF7-70A7-4BA2-9B95-E344BFF4E9C8}"/>
            </a:ext>
          </a:extLst>
        </xdr:cNvPr>
        <xdr:cNvSpPr/>
      </xdr:nvSpPr>
      <xdr:spPr>
        <a:xfrm>
          <a:off x="5581649" y="4791527"/>
          <a:ext cx="2190752" cy="3333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r>
            <a:rPr lang="en-US" sz="1100"/>
            <a:t>Strategy No. 2: Inventory Control</a:t>
          </a:r>
          <a:endParaRPr lang="fa-IR" sz="1100"/>
        </a:p>
      </xdr:txBody>
    </xdr:sp>
    <xdr:clientData/>
  </xdr:twoCellAnchor>
  <xdr:twoCellAnchor>
    <xdr:from>
      <xdr:col>11</xdr:col>
      <xdr:colOff>309563</xdr:colOff>
      <xdr:row>15</xdr:row>
      <xdr:rowOff>123828</xdr:rowOff>
    </xdr:from>
    <xdr:to>
      <xdr:col>11</xdr:col>
      <xdr:colOff>457200</xdr:colOff>
      <xdr:row>17</xdr:row>
      <xdr:rowOff>23815</xdr:rowOff>
    </xdr:to>
    <xdr:sp macro="" textlink="">
      <xdr:nvSpPr>
        <xdr:cNvPr id="12" name="Isosceles Tri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1FC601-B240-4EAC-9295-E47B297D0D89}"/>
            </a:ext>
          </a:extLst>
        </xdr:cNvPr>
        <xdr:cNvSpPr/>
      </xdr:nvSpPr>
      <xdr:spPr>
        <a:xfrm rot="5400000">
          <a:off x="7796213" y="2895603"/>
          <a:ext cx="261937" cy="147637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endParaRPr lang="fa-IR" sz="1100"/>
        </a:p>
      </xdr:txBody>
    </xdr:sp>
    <xdr:clientData/>
  </xdr:twoCellAnchor>
  <xdr:twoCellAnchor>
    <xdr:from>
      <xdr:col>11</xdr:col>
      <xdr:colOff>309563</xdr:colOff>
      <xdr:row>17</xdr:row>
      <xdr:rowOff>160567</xdr:rowOff>
    </xdr:from>
    <xdr:to>
      <xdr:col>11</xdr:col>
      <xdr:colOff>457200</xdr:colOff>
      <xdr:row>19</xdr:row>
      <xdr:rowOff>60554</xdr:rowOff>
    </xdr:to>
    <xdr:sp macro="" textlink="">
      <xdr:nvSpPr>
        <xdr:cNvPr id="13" name="Isosceles Tri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ECECF7-1C2D-436A-8293-1236A1AD487E}"/>
            </a:ext>
          </a:extLst>
        </xdr:cNvPr>
        <xdr:cNvSpPr/>
      </xdr:nvSpPr>
      <xdr:spPr>
        <a:xfrm rot="5400000">
          <a:off x="7796213" y="3294292"/>
          <a:ext cx="261937" cy="147637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endParaRPr lang="fa-IR" sz="1100"/>
        </a:p>
      </xdr:txBody>
    </xdr:sp>
    <xdr:clientData/>
  </xdr:twoCellAnchor>
  <xdr:twoCellAnchor>
    <xdr:from>
      <xdr:col>11</xdr:col>
      <xdr:colOff>309563</xdr:colOff>
      <xdr:row>20</xdr:row>
      <xdr:rowOff>16331</xdr:rowOff>
    </xdr:from>
    <xdr:to>
      <xdr:col>11</xdr:col>
      <xdr:colOff>457200</xdr:colOff>
      <xdr:row>21</xdr:row>
      <xdr:rowOff>97293</xdr:rowOff>
    </xdr:to>
    <xdr:sp macro="" textlink="">
      <xdr:nvSpPr>
        <xdr:cNvPr id="14" name="Isosceles Tri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911F6F-9B30-49F5-B3A0-98B264B8B5CE}"/>
            </a:ext>
          </a:extLst>
        </xdr:cNvPr>
        <xdr:cNvSpPr/>
      </xdr:nvSpPr>
      <xdr:spPr>
        <a:xfrm rot="5400000">
          <a:off x="7796213" y="3692981"/>
          <a:ext cx="261937" cy="147637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endParaRPr lang="fa-IR" sz="1100"/>
        </a:p>
      </xdr:txBody>
    </xdr:sp>
    <xdr:clientData/>
  </xdr:twoCellAnchor>
  <xdr:twoCellAnchor>
    <xdr:from>
      <xdr:col>11</xdr:col>
      <xdr:colOff>309563</xdr:colOff>
      <xdr:row>22</xdr:row>
      <xdr:rowOff>53070</xdr:rowOff>
    </xdr:from>
    <xdr:to>
      <xdr:col>11</xdr:col>
      <xdr:colOff>457200</xdr:colOff>
      <xdr:row>23</xdr:row>
      <xdr:rowOff>134032</xdr:rowOff>
    </xdr:to>
    <xdr:sp macro="" textlink="">
      <xdr:nvSpPr>
        <xdr:cNvPr id="15" name="Isosceles Tri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A9F9095-D852-414A-BD78-3F271D40FDA3}"/>
            </a:ext>
          </a:extLst>
        </xdr:cNvPr>
        <xdr:cNvSpPr/>
      </xdr:nvSpPr>
      <xdr:spPr>
        <a:xfrm rot="5400000">
          <a:off x="7796213" y="4091670"/>
          <a:ext cx="261937" cy="147637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endParaRPr lang="fa-IR" sz="1100"/>
        </a:p>
      </xdr:txBody>
    </xdr:sp>
    <xdr:clientData/>
  </xdr:twoCellAnchor>
  <xdr:twoCellAnchor>
    <xdr:from>
      <xdr:col>11</xdr:col>
      <xdr:colOff>309563</xdr:colOff>
      <xdr:row>24</xdr:row>
      <xdr:rowOff>89809</xdr:rowOff>
    </xdr:from>
    <xdr:to>
      <xdr:col>11</xdr:col>
      <xdr:colOff>457200</xdr:colOff>
      <xdr:row>25</xdr:row>
      <xdr:rowOff>170771</xdr:rowOff>
    </xdr:to>
    <xdr:sp macro="" textlink="">
      <xdr:nvSpPr>
        <xdr:cNvPr id="16" name="Isosceles Tri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72FBE7F-A804-4B02-89FE-448DD915F860}"/>
            </a:ext>
          </a:extLst>
        </xdr:cNvPr>
        <xdr:cNvSpPr/>
      </xdr:nvSpPr>
      <xdr:spPr>
        <a:xfrm rot="5400000">
          <a:off x="7796213" y="4490359"/>
          <a:ext cx="261937" cy="147637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endParaRPr lang="fa-IR" sz="1100"/>
        </a:p>
      </xdr:txBody>
    </xdr:sp>
    <xdr:clientData/>
  </xdr:twoCellAnchor>
  <xdr:twoCellAnchor>
    <xdr:from>
      <xdr:col>11</xdr:col>
      <xdr:colOff>309563</xdr:colOff>
      <xdr:row>26</xdr:row>
      <xdr:rowOff>126548</xdr:rowOff>
    </xdr:from>
    <xdr:to>
      <xdr:col>11</xdr:col>
      <xdr:colOff>457200</xdr:colOff>
      <xdr:row>28</xdr:row>
      <xdr:rowOff>26535</xdr:rowOff>
    </xdr:to>
    <xdr:sp macro="" textlink="">
      <xdr:nvSpPr>
        <xdr:cNvPr id="17" name="Isosceles Tri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9B49AAD-BDE1-4057-B39B-27BF800B0C9D}"/>
            </a:ext>
          </a:extLst>
        </xdr:cNvPr>
        <xdr:cNvSpPr/>
      </xdr:nvSpPr>
      <xdr:spPr>
        <a:xfrm rot="5400000">
          <a:off x="7796213" y="4889048"/>
          <a:ext cx="261937" cy="147637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endParaRPr lang="fa-IR" sz="1100"/>
        </a:p>
      </xdr:txBody>
    </xdr:sp>
    <xdr:clientData/>
  </xdr:twoCellAnchor>
  <xdr:twoCellAnchor>
    <xdr:from>
      <xdr:col>8</xdr:col>
      <xdr:colOff>85724</xdr:colOff>
      <xdr:row>28</xdr:row>
      <xdr:rowOff>124050</xdr:rowOff>
    </xdr:from>
    <xdr:to>
      <xdr:col>11</xdr:col>
      <xdr:colOff>219076</xdr:colOff>
      <xdr:row>30</xdr:row>
      <xdr:rowOff>95475</xdr:rowOff>
    </xdr:to>
    <xdr:sp macro="" textlink="">
      <xdr:nvSpPr>
        <xdr:cNvPr id="20" name="Rectangle: Rounded Corners 19">
          <a:extLst>
            <a:ext uri="{FF2B5EF4-FFF2-40B4-BE49-F238E27FC236}">
              <a16:creationId xmlns:a16="http://schemas.microsoft.com/office/drawing/2014/main" id="{F9619E8B-1720-465A-BFFC-3C18ECCDE831}"/>
            </a:ext>
          </a:extLst>
        </xdr:cNvPr>
        <xdr:cNvSpPr/>
      </xdr:nvSpPr>
      <xdr:spPr>
        <a:xfrm>
          <a:off x="5572124" y="5191350"/>
          <a:ext cx="2190752" cy="333375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r>
            <a:rPr lang="en-US" sz="1100"/>
            <a:t>Lingo Optimal Program</a:t>
          </a:r>
          <a:endParaRPr lang="fa-IR" sz="1100"/>
        </a:p>
      </xdr:txBody>
    </xdr:sp>
    <xdr:clientData/>
  </xdr:twoCellAnchor>
  <xdr:twoCellAnchor>
    <xdr:from>
      <xdr:col>11</xdr:col>
      <xdr:colOff>300038</xdr:colOff>
      <xdr:row>28</xdr:row>
      <xdr:rowOff>163287</xdr:rowOff>
    </xdr:from>
    <xdr:to>
      <xdr:col>11</xdr:col>
      <xdr:colOff>447675</xdr:colOff>
      <xdr:row>30</xdr:row>
      <xdr:rowOff>63274</xdr:rowOff>
    </xdr:to>
    <xdr:sp macro="" textlink="">
      <xdr:nvSpPr>
        <xdr:cNvPr id="21" name="Isosceles Triangle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3D347E1-BD11-4E00-AC7F-38F1C00E059A}"/>
            </a:ext>
          </a:extLst>
        </xdr:cNvPr>
        <xdr:cNvSpPr/>
      </xdr:nvSpPr>
      <xdr:spPr>
        <a:xfrm rot="5400000">
          <a:off x="7786688" y="5287737"/>
          <a:ext cx="261937" cy="147637"/>
        </a:xfrm>
        <a:prstGeom prst="triangle">
          <a:avLst/>
        </a:prstGeom>
        <a:solidFill>
          <a:srgbClr val="0070C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endParaRPr lang="fa-IR" sz="1100"/>
        </a:p>
      </xdr:txBody>
    </xdr:sp>
    <xdr:clientData/>
  </xdr:twoCellAnchor>
  <xdr:twoCellAnchor>
    <xdr:from>
      <xdr:col>8</xdr:col>
      <xdr:colOff>95249</xdr:colOff>
      <xdr:row>30</xdr:row>
      <xdr:rowOff>161925</xdr:rowOff>
    </xdr:from>
    <xdr:to>
      <xdr:col>11</xdr:col>
      <xdr:colOff>228601</xdr:colOff>
      <xdr:row>32</xdr:row>
      <xdr:rowOff>133350</xdr:rowOff>
    </xdr:to>
    <xdr:sp macro="" textlink="">
      <xdr:nvSpPr>
        <xdr:cNvPr id="22" name="Rectangle: Rounded Corners 21">
          <a:extLst>
            <a:ext uri="{FF2B5EF4-FFF2-40B4-BE49-F238E27FC236}">
              <a16:creationId xmlns:a16="http://schemas.microsoft.com/office/drawing/2014/main" id="{73818662-F203-4ABB-A9AD-037003C3F760}"/>
            </a:ext>
          </a:extLst>
        </xdr:cNvPr>
        <xdr:cNvSpPr/>
      </xdr:nvSpPr>
      <xdr:spPr>
        <a:xfrm>
          <a:off x="5581649" y="5591175"/>
          <a:ext cx="2190752" cy="333375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r>
            <a:rPr lang="en-US" sz="1100"/>
            <a:t>Comparison</a:t>
          </a:r>
          <a:endParaRPr lang="fa-IR" sz="1100"/>
        </a:p>
      </xdr:txBody>
    </xdr:sp>
    <xdr:clientData/>
  </xdr:twoCellAnchor>
  <xdr:twoCellAnchor>
    <xdr:from>
      <xdr:col>11</xdr:col>
      <xdr:colOff>309563</xdr:colOff>
      <xdr:row>31</xdr:row>
      <xdr:rowOff>19053</xdr:rowOff>
    </xdr:from>
    <xdr:to>
      <xdr:col>11</xdr:col>
      <xdr:colOff>457200</xdr:colOff>
      <xdr:row>32</xdr:row>
      <xdr:rowOff>100015</xdr:rowOff>
    </xdr:to>
    <xdr:sp macro="" textlink="">
      <xdr:nvSpPr>
        <xdr:cNvPr id="23" name="Isosceles Triangl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66337EF-31EE-48DF-A78A-75C35FE13B43}"/>
            </a:ext>
          </a:extLst>
        </xdr:cNvPr>
        <xdr:cNvSpPr/>
      </xdr:nvSpPr>
      <xdr:spPr>
        <a:xfrm rot="5400000">
          <a:off x="7796213" y="5686428"/>
          <a:ext cx="261937" cy="147637"/>
        </a:xfrm>
        <a:prstGeom prst="triangl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endParaRPr lang="fa-I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28</xdr:row>
      <xdr:rowOff>0</xdr:rowOff>
    </xdr:from>
    <xdr:to>
      <xdr:col>7</xdr:col>
      <xdr:colOff>476250</xdr:colOff>
      <xdr:row>31</xdr:row>
      <xdr:rowOff>133350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2371725" y="5334000"/>
          <a:ext cx="287655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fa-I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میزان</a:t>
          </a:r>
          <a:r>
            <a:rPr lang="fa-I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تولید یکنواخت ماهانه = 12/ تقاضای سالانه</a:t>
          </a:r>
        </a:p>
        <a:p>
          <a:pPr algn="l" rtl="1"/>
          <a:r>
            <a:rPr lang="fa-I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تولید یکنواخت =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15471</a:t>
          </a:r>
          <a:endParaRPr lang="en-US" sz="1100"/>
        </a:p>
      </xdr:txBody>
    </xdr:sp>
    <xdr:clientData/>
  </xdr:twoCellAnchor>
  <xdr:twoCellAnchor>
    <xdr:from>
      <xdr:col>19</xdr:col>
      <xdr:colOff>14287</xdr:colOff>
      <xdr:row>25</xdr:row>
      <xdr:rowOff>0</xdr:rowOff>
    </xdr:from>
    <xdr:to>
      <xdr:col>26</xdr:col>
      <xdr:colOff>319087</xdr:colOff>
      <xdr:row>39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438151</xdr:colOff>
      <xdr:row>24</xdr:row>
      <xdr:rowOff>161925</xdr:rowOff>
    </xdr:from>
    <xdr:to>
      <xdr:col>25</xdr:col>
      <xdr:colOff>561975</xdr:colOff>
      <xdr:row>47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242887</xdr:colOff>
      <xdr:row>29</xdr:row>
      <xdr:rowOff>0</xdr:rowOff>
    </xdr:from>
    <xdr:to>
      <xdr:col>15</xdr:col>
      <xdr:colOff>152400</xdr:colOff>
      <xdr:row>43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395006</xdr:colOff>
      <xdr:row>26</xdr:row>
      <xdr:rowOff>9526</xdr:rowOff>
    </xdr:from>
    <xdr:to>
      <xdr:col>25</xdr:col>
      <xdr:colOff>761998</xdr:colOff>
      <xdr:row>44</xdr:row>
      <xdr:rowOff>212914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129668</xdr:colOff>
      <xdr:row>0</xdr:row>
      <xdr:rowOff>164086</xdr:rowOff>
    </xdr:from>
    <xdr:to>
      <xdr:col>26</xdr:col>
      <xdr:colOff>906075</xdr:colOff>
      <xdr:row>5</xdr:row>
      <xdr:rowOff>208909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220739" y="164086"/>
          <a:ext cx="7756872" cy="1473573"/>
        </a:xfrm>
        <a:prstGeom prst="rect">
          <a:avLst/>
        </a:prstGeom>
        <a:solidFill>
          <a:schemeClr val="bg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fa-IR" sz="1600">
              <a:cs typeface="B Yekan" panose="00000400000000000000" pitchFamily="2" charset="-78"/>
            </a:rPr>
            <a:t>در</a:t>
          </a:r>
          <a:r>
            <a:rPr lang="fa-IR" sz="1600" baseline="0">
              <a:cs typeface="B Yekan" panose="00000400000000000000" pitchFamily="2" charset="-78"/>
            </a:rPr>
            <a:t> این حالت برنامه تولید = تقاضا بررسی شده که به دلیل موجدی ابتدایی و انتهایی 2400 و همچنین حداقل تغییر تولید 500 تایی در ماه فروردین و اسفند، آذر و به تبع آذر، دی ماه تولید برابر تقاضا نیست.</a:t>
          </a:r>
        </a:p>
        <a:p>
          <a:pPr algn="r" rtl="1"/>
          <a:endParaRPr lang="fa-IR" sz="1600" baseline="0">
            <a:cs typeface="B Yekan" panose="00000400000000000000" pitchFamily="2" charset="-78"/>
          </a:endParaRPr>
        </a:p>
      </xdr:txBody>
    </xdr:sp>
    <xdr:clientData/>
  </xdr:twoCellAnchor>
  <xdr:twoCellAnchor>
    <xdr:from>
      <xdr:col>22</xdr:col>
      <xdr:colOff>408214</xdr:colOff>
      <xdr:row>10</xdr:row>
      <xdr:rowOff>81643</xdr:rowOff>
    </xdr:from>
    <xdr:to>
      <xdr:col>24</xdr:col>
      <xdr:colOff>381001</xdr:colOff>
      <xdr:row>25</xdr:row>
      <xdr:rowOff>33618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 flipV="1">
          <a:off x="28520571" y="2272393"/>
          <a:ext cx="1932216" cy="30680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392207</xdr:colOff>
      <xdr:row>11</xdr:row>
      <xdr:rowOff>89647</xdr:rowOff>
    </xdr:from>
    <xdr:to>
      <xdr:col>24</xdr:col>
      <xdr:colOff>268941</xdr:colOff>
      <xdr:row>22</xdr:row>
      <xdr:rowOff>123265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26905325" y="2420471"/>
          <a:ext cx="3597087" cy="22635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668111</xdr:colOff>
      <xdr:row>25</xdr:row>
      <xdr:rowOff>20410</xdr:rowOff>
    </xdr:from>
    <xdr:to>
      <xdr:col>33</xdr:col>
      <xdr:colOff>447675</xdr:colOff>
      <xdr:row>36</xdr:row>
      <xdr:rowOff>63953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260803</xdr:colOff>
      <xdr:row>0</xdr:row>
      <xdr:rowOff>0</xdr:rowOff>
    </xdr:from>
    <xdr:to>
      <xdr:col>0</xdr:col>
      <xdr:colOff>700998</xdr:colOff>
      <xdr:row>0</xdr:row>
      <xdr:rowOff>481692</xdr:rowOff>
    </xdr:to>
    <xdr:pic>
      <xdr:nvPicPr>
        <xdr:cNvPr id="9" name="Graphic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B86795-FD60-4D9F-A569-A823D81A8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60803" y="0"/>
          <a:ext cx="440195" cy="481692"/>
        </a:xfrm>
        <a:prstGeom prst="rect">
          <a:avLst/>
        </a:prstGeom>
      </xdr:spPr>
    </xdr:pic>
    <xdr:clientData/>
  </xdr:twoCellAnchor>
  <xdr:twoCellAnchor>
    <xdr:from>
      <xdr:col>11</xdr:col>
      <xdr:colOff>714374</xdr:colOff>
      <xdr:row>25</xdr:row>
      <xdr:rowOff>9524</xdr:rowOff>
    </xdr:from>
    <xdr:to>
      <xdr:col>15</xdr:col>
      <xdr:colOff>1333500</xdr:colOff>
      <xdr:row>34</xdr:row>
      <xdr:rowOff>217714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693F0766-7E6F-4882-A461-078129AFFA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25399" y="5819774"/>
              <a:ext cx="3790951" cy="24179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a-I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408214</xdr:colOff>
      <xdr:row>10</xdr:row>
      <xdr:rowOff>81643</xdr:rowOff>
    </xdr:from>
    <xdr:to>
      <xdr:col>24</xdr:col>
      <xdr:colOff>381001</xdr:colOff>
      <xdr:row>25</xdr:row>
      <xdr:rowOff>33618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 flipV="1">
          <a:off x="24982714" y="1919968"/>
          <a:ext cx="1677762" cy="2838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392207</xdr:colOff>
      <xdr:row>11</xdr:row>
      <xdr:rowOff>89647</xdr:rowOff>
    </xdr:from>
    <xdr:to>
      <xdr:col>24</xdr:col>
      <xdr:colOff>268941</xdr:colOff>
      <xdr:row>22</xdr:row>
      <xdr:rowOff>123265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23509382" y="2118472"/>
          <a:ext cx="3039034" cy="2157693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600075</xdr:colOff>
      <xdr:row>25</xdr:row>
      <xdr:rowOff>190500</xdr:rowOff>
    </xdr:from>
    <xdr:to>
      <xdr:col>27</xdr:col>
      <xdr:colOff>238125</xdr:colOff>
      <xdr:row>39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371475</xdr:colOff>
      <xdr:row>0</xdr:row>
      <xdr:rowOff>0</xdr:rowOff>
    </xdr:from>
    <xdr:to>
      <xdr:col>1</xdr:col>
      <xdr:colOff>125870</xdr:colOff>
      <xdr:row>0</xdr:row>
      <xdr:rowOff>481692</xdr:rowOff>
    </xdr:to>
    <xdr:pic>
      <xdr:nvPicPr>
        <xdr:cNvPr id="6" name="Graphic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25D922-00B3-4AC9-B191-B7336360E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71475" y="0"/>
          <a:ext cx="440195" cy="481692"/>
        </a:xfrm>
        <a:prstGeom prst="rect">
          <a:avLst/>
        </a:prstGeom>
      </xdr:spPr>
    </xdr:pic>
    <xdr:clientData/>
  </xdr:twoCellAnchor>
  <xdr:twoCellAnchor>
    <xdr:from>
      <xdr:col>11</xdr:col>
      <xdr:colOff>428623</xdr:colOff>
      <xdr:row>24</xdr:row>
      <xdr:rowOff>91167</xdr:rowOff>
    </xdr:from>
    <xdr:to>
      <xdr:col>16</xdr:col>
      <xdr:colOff>1319892</xdr:colOff>
      <xdr:row>35</xdr:row>
      <xdr:rowOff>85724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6A7DD79-F3EA-44F7-9C13-0A9FD9BC288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754098" y="6206217"/>
              <a:ext cx="8977994" cy="27091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a-I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408215</xdr:colOff>
      <xdr:row>10</xdr:row>
      <xdr:rowOff>81644</xdr:rowOff>
    </xdr:from>
    <xdr:to>
      <xdr:col>24</xdr:col>
      <xdr:colOff>361950</xdr:colOff>
      <xdr:row>24</xdr:row>
      <xdr:rowOff>180975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 flipV="1">
          <a:off x="15972065" y="2186669"/>
          <a:ext cx="1411060" cy="28806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392207</xdr:colOff>
      <xdr:row>11</xdr:row>
      <xdr:rowOff>89647</xdr:rowOff>
    </xdr:from>
    <xdr:to>
      <xdr:col>24</xdr:col>
      <xdr:colOff>268941</xdr:colOff>
      <xdr:row>22</xdr:row>
      <xdr:rowOff>123265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>
          <a:off x="14660657" y="2385172"/>
          <a:ext cx="2629459" cy="2233893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381000</xdr:colOff>
      <xdr:row>26</xdr:row>
      <xdr:rowOff>28575</xdr:rowOff>
    </xdr:from>
    <xdr:to>
      <xdr:col>27</xdr:col>
      <xdr:colOff>381000</xdr:colOff>
      <xdr:row>39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403412</xdr:colOff>
      <xdr:row>0</xdr:row>
      <xdr:rowOff>22411</xdr:rowOff>
    </xdr:from>
    <xdr:to>
      <xdr:col>1</xdr:col>
      <xdr:colOff>160048</xdr:colOff>
      <xdr:row>1</xdr:row>
      <xdr:rowOff>639</xdr:rowOff>
    </xdr:to>
    <xdr:pic>
      <xdr:nvPicPr>
        <xdr:cNvPr id="7" name="Graphic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FCDBEB-6EA1-4E01-88AB-FB3A1EBF1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03412" y="22411"/>
          <a:ext cx="440195" cy="481692"/>
        </a:xfrm>
        <a:prstGeom prst="rect">
          <a:avLst/>
        </a:prstGeom>
      </xdr:spPr>
    </xdr:pic>
    <xdr:clientData/>
  </xdr:twoCellAnchor>
  <xdr:twoCellAnchor>
    <xdr:from>
      <xdr:col>11</xdr:col>
      <xdr:colOff>374194</xdr:colOff>
      <xdr:row>24</xdr:row>
      <xdr:rowOff>186417</xdr:rowOff>
    </xdr:from>
    <xdr:to>
      <xdr:col>15</xdr:col>
      <xdr:colOff>1469570</xdr:colOff>
      <xdr:row>35</xdr:row>
      <xdr:rowOff>180974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E4EBC73-D938-44AC-84D1-AB3AD759024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699669" y="6301467"/>
              <a:ext cx="7610476" cy="27091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a-I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408215</xdr:colOff>
      <xdr:row>10</xdr:row>
      <xdr:rowOff>81644</xdr:rowOff>
    </xdr:from>
    <xdr:to>
      <xdr:col>24</xdr:col>
      <xdr:colOff>361950</xdr:colOff>
      <xdr:row>24</xdr:row>
      <xdr:rowOff>180975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H="1" flipV="1">
          <a:off x="15581540" y="2186669"/>
          <a:ext cx="1172935" cy="28806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392207</xdr:colOff>
      <xdr:row>11</xdr:row>
      <xdr:rowOff>89647</xdr:rowOff>
    </xdr:from>
    <xdr:to>
      <xdr:col>24</xdr:col>
      <xdr:colOff>268941</xdr:colOff>
      <xdr:row>22</xdr:row>
      <xdr:rowOff>123265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>
          <a:off x="23509382" y="2118472"/>
          <a:ext cx="3039034" cy="2157693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428625</xdr:colOff>
      <xdr:row>25</xdr:row>
      <xdr:rowOff>38100</xdr:rowOff>
    </xdr:from>
    <xdr:to>
      <xdr:col>26</xdr:col>
      <xdr:colOff>638176</xdr:colOff>
      <xdr:row>38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336176</xdr:colOff>
      <xdr:row>0</xdr:row>
      <xdr:rowOff>22411</xdr:rowOff>
    </xdr:from>
    <xdr:to>
      <xdr:col>1</xdr:col>
      <xdr:colOff>47989</xdr:colOff>
      <xdr:row>1</xdr:row>
      <xdr:rowOff>639</xdr:rowOff>
    </xdr:to>
    <xdr:pic>
      <xdr:nvPicPr>
        <xdr:cNvPr id="7" name="Graphic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3B9D13-6678-4F73-81A1-E37B60D65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6176" y="22411"/>
          <a:ext cx="440195" cy="481692"/>
        </a:xfrm>
        <a:prstGeom prst="rect">
          <a:avLst/>
        </a:prstGeom>
      </xdr:spPr>
    </xdr:pic>
    <xdr:clientData/>
  </xdr:twoCellAnchor>
  <xdr:twoCellAnchor>
    <xdr:from>
      <xdr:col>11</xdr:col>
      <xdr:colOff>346981</xdr:colOff>
      <xdr:row>24</xdr:row>
      <xdr:rowOff>159203</xdr:rowOff>
    </xdr:from>
    <xdr:to>
      <xdr:col>16</xdr:col>
      <xdr:colOff>1483179</xdr:colOff>
      <xdr:row>35</xdr:row>
      <xdr:rowOff>153760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2636140-6ED1-4A05-A412-1CDBA1CF9A3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38956" y="6274253"/>
              <a:ext cx="8337098" cy="27091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a-I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408215</xdr:colOff>
      <xdr:row>10</xdr:row>
      <xdr:rowOff>81644</xdr:rowOff>
    </xdr:from>
    <xdr:to>
      <xdr:col>24</xdr:col>
      <xdr:colOff>361950</xdr:colOff>
      <xdr:row>24</xdr:row>
      <xdr:rowOff>180975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H="1" flipV="1">
          <a:off x="16857890" y="2186669"/>
          <a:ext cx="1706335" cy="28806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392207</xdr:colOff>
      <xdr:row>11</xdr:row>
      <xdr:rowOff>89647</xdr:rowOff>
    </xdr:from>
    <xdr:to>
      <xdr:col>24</xdr:col>
      <xdr:colOff>268941</xdr:colOff>
      <xdr:row>22</xdr:row>
      <xdr:rowOff>123265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H="1">
          <a:off x="15317882" y="2385172"/>
          <a:ext cx="3153334" cy="2233893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600075</xdr:colOff>
      <xdr:row>26</xdr:row>
      <xdr:rowOff>0</xdr:rowOff>
    </xdr:from>
    <xdr:to>
      <xdr:col>26</xdr:col>
      <xdr:colOff>304800</xdr:colOff>
      <xdr:row>39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299357</xdr:colOff>
      <xdr:row>0</xdr:row>
      <xdr:rowOff>13607</xdr:rowOff>
    </xdr:from>
    <xdr:to>
      <xdr:col>1</xdr:col>
      <xdr:colOff>59195</xdr:colOff>
      <xdr:row>0</xdr:row>
      <xdr:rowOff>495299</xdr:rowOff>
    </xdr:to>
    <xdr:pic>
      <xdr:nvPicPr>
        <xdr:cNvPr id="7" name="Graphic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9D7D72-98C1-412F-BF94-93FD84D85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99357" y="13607"/>
          <a:ext cx="440195" cy="481692"/>
        </a:xfrm>
        <a:prstGeom prst="rect">
          <a:avLst/>
        </a:prstGeom>
      </xdr:spPr>
    </xdr:pic>
    <xdr:clientData/>
  </xdr:twoCellAnchor>
  <xdr:twoCellAnchor>
    <xdr:from>
      <xdr:col>11</xdr:col>
      <xdr:colOff>306160</xdr:colOff>
      <xdr:row>24</xdr:row>
      <xdr:rowOff>213631</xdr:rowOff>
    </xdr:from>
    <xdr:to>
      <xdr:col>16</xdr:col>
      <xdr:colOff>1183821</xdr:colOff>
      <xdr:row>35</xdr:row>
      <xdr:rowOff>208188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AC62B420-42D7-47EC-AA48-CCC81B6D641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707835" y="6328681"/>
              <a:ext cx="9459686" cy="27091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a-I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408215</xdr:colOff>
      <xdr:row>10</xdr:row>
      <xdr:rowOff>81644</xdr:rowOff>
    </xdr:from>
    <xdr:to>
      <xdr:col>24</xdr:col>
      <xdr:colOff>361950</xdr:colOff>
      <xdr:row>24</xdr:row>
      <xdr:rowOff>180975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H="1" flipV="1">
          <a:off x="16895990" y="2186669"/>
          <a:ext cx="1563460" cy="28806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392207</xdr:colOff>
      <xdr:row>11</xdr:row>
      <xdr:rowOff>89647</xdr:rowOff>
    </xdr:from>
    <xdr:to>
      <xdr:col>24</xdr:col>
      <xdr:colOff>268941</xdr:colOff>
      <xdr:row>22</xdr:row>
      <xdr:rowOff>123265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H="1">
          <a:off x="15451232" y="2385172"/>
          <a:ext cx="2915209" cy="2233893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241702</xdr:colOff>
      <xdr:row>0</xdr:row>
      <xdr:rowOff>41412</xdr:rowOff>
    </xdr:from>
    <xdr:to>
      <xdr:col>0</xdr:col>
      <xdr:colOff>687167</xdr:colOff>
      <xdr:row>1</xdr:row>
      <xdr:rowOff>17865</xdr:rowOff>
    </xdr:to>
    <xdr:pic>
      <xdr:nvPicPr>
        <xdr:cNvPr id="6" name="Graphic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84EABB-8C09-43FF-ADC0-7A317B049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41702" y="41412"/>
          <a:ext cx="445465" cy="478680"/>
        </a:xfrm>
        <a:prstGeom prst="rect">
          <a:avLst/>
        </a:prstGeom>
      </xdr:spPr>
    </xdr:pic>
    <xdr:clientData/>
  </xdr:twoCellAnchor>
  <xdr:twoCellAnchor>
    <xdr:from>
      <xdr:col>21</xdr:col>
      <xdr:colOff>442232</xdr:colOff>
      <xdr:row>25</xdr:row>
      <xdr:rowOff>91167</xdr:rowOff>
    </xdr:from>
    <xdr:to>
      <xdr:col>27</xdr:col>
      <xdr:colOff>6804</xdr:colOff>
      <xdr:row>36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BF97BB-42F1-45AD-90FC-4254E1B77C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646338</xdr:colOff>
      <xdr:row>24</xdr:row>
      <xdr:rowOff>227239</xdr:rowOff>
    </xdr:from>
    <xdr:to>
      <xdr:col>17</xdr:col>
      <xdr:colOff>136072</xdr:colOff>
      <xdr:row>36</xdr:row>
      <xdr:rowOff>176892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C4B637C0-7D86-4E56-90D3-BC881C739BB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43063" y="6342289"/>
              <a:ext cx="8509909" cy="28928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a-I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408215</xdr:colOff>
      <xdr:row>10</xdr:row>
      <xdr:rowOff>81644</xdr:rowOff>
    </xdr:from>
    <xdr:to>
      <xdr:col>24</xdr:col>
      <xdr:colOff>361950</xdr:colOff>
      <xdr:row>24</xdr:row>
      <xdr:rowOff>180975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A9D8115E-4EA9-416E-B223-9FDF40371CE4}"/>
            </a:ext>
          </a:extLst>
        </xdr:cNvPr>
        <xdr:cNvCxnSpPr/>
      </xdr:nvCxnSpPr>
      <xdr:spPr>
        <a:xfrm flipH="1" flipV="1">
          <a:off x="25458965" y="2881994"/>
          <a:ext cx="1553935" cy="34140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392207</xdr:colOff>
      <xdr:row>11</xdr:row>
      <xdr:rowOff>89647</xdr:rowOff>
    </xdr:from>
    <xdr:to>
      <xdr:col>24</xdr:col>
      <xdr:colOff>268941</xdr:colOff>
      <xdr:row>22</xdr:row>
      <xdr:rowOff>123265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11DF4AA-2A3B-4CB3-9D91-46844A5EE6DB}"/>
            </a:ext>
          </a:extLst>
        </xdr:cNvPr>
        <xdr:cNvCxnSpPr/>
      </xdr:nvCxnSpPr>
      <xdr:spPr>
        <a:xfrm flipH="1">
          <a:off x="23757032" y="3118597"/>
          <a:ext cx="3162859" cy="2652993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241702</xdr:colOff>
      <xdr:row>0</xdr:row>
      <xdr:rowOff>41412</xdr:rowOff>
    </xdr:from>
    <xdr:to>
      <xdr:col>1</xdr:col>
      <xdr:colOff>1367</xdr:colOff>
      <xdr:row>1</xdr:row>
      <xdr:rowOff>17865</xdr:rowOff>
    </xdr:to>
    <xdr:pic>
      <xdr:nvPicPr>
        <xdr:cNvPr id="4" name="Graphic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3CD1D0-9CFD-408F-ACE9-8FC18EB6B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41702" y="41412"/>
          <a:ext cx="445465" cy="481278"/>
        </a:xfrm>
        <a:prstGeom prst="rect">
          <a:avLst/>
        </a:prstGeom>
      </xdr:spPr>
    </xdr:pic>
    <xdr:clientData/>
  </xdr:twoCellAnchor>
  <xdr:twoCellAnchor>
    <xdr:from>
      <xdr:col>21</xdr:col>
      <xdr:colOff>442232</xdr:colOff>
      <xdr:row>25</xdr:row>
      <xdr:rowOff>91167</xdr:rowOff>
    </xdr:from>
    <xdr:to>
      <xdr:col>27</xdr:col>
      <xdr:colOff>6804</xdr:colOff>
      <xdr:row>36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1BBF9FC-568A-4664-9820-FFF415A8B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646338</xdr:colOff>
      <xdr:row>24</xdr:row>
      <xdr:rowOff>227239</xdr:rowOff>
    </xdr:from>
    <xdr:to>
      <xdr:col>17</xdr:col>
      <xdr:colOff>136072</xdr:colOff>
      <xdr:row>36</xdr:row>
      <xdr:rowOff>176892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5A85C2A8-BCDB-4100-9366-5233756A7B5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43063" y="6342289"/>
              <a:ext cx="8509909" cy="28928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a-I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138112</xdr:colOff>
      <xdr:row>2</xdr:row>
      <xdr:rowOff>28576</xdr:rowOff>
    </xdr:from>
    <xdr:to>
      <xdr:col>15</xdr:col>
      <xdr:colOff>600075</xdr:colOff>
      <xdr:row>14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A71013-FFF7-4B0E-B4E9-6C20240C43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104775</xdr:colOff>
      <xdr:row>19</xdr:row>
      <xdr:rowOff>9525</xdr:rowOff>
    </xdr:from>
    <xdr:to>
      <xdr:col>6</xdr:col>
      <xdr:colOff>590551</xdr:colOff>
      <xdr:row>21</xdr:row>
      <xdr:rowOff>38101</xdr:rowOff>
    </xdr:to>
    <xdr:pic>
      <xdr:nvPicPr>
        <xdr:cNvPr id="9" name="Graphic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D76631-464C-4E2A-B7E8-88BBAF0AC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867525" y="4295775"/>
          <a:ext cx="485776" cy="485776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16</xdr:row>
      <xdr:rowOff>66674</xdr:rowOff>
    </xdr:from>
    <xdr:to>
      <xdr:col>6</xdr:col>
      <xdr:colOff>581025</xdr:colOff>
      <xdr:row>18</xdr:row>
      <xdr:rowOff>104775</xdr:rowOff>
    </xdr:to>
    <xdr:pic>
      <xdr:nvPicPr>
        <xdr:cNvPr id="10" name="Graphic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3888B21-E4F7-4F06-BCDA-E3E714B0D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6848474" y="3667124"/>
          <a:ext cx="495301" cy="495301"/>
        </a:xfrm>
        <a:prstGeom prst="rect">
          <a:avLst/>
        </a:prstGeom>
      </xdr:spPr>
    </xdr:pic>
    <xdr:clientData/>
  </xdr:twoCellAnchor>
  <xdr:twoCellAnchor editAs="oneCell">
    <xdr:from>
      <xdr:col>8</xdr:col>
      <xdr:colOff>260265</xdr:colOff>
      <xdr:row>17</xdr:row>
      <xdr:rowOff>81300</xdr:rowOff>
    </xdr:from>
    <xdr:to>
      <xdr:col>8</xdr:col>
      <xdr:colOff>260625</xdr:colOff>
      <xdr:row>17</xdr:row>
      <xdr:rowOff>81660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69F7303F-0C02-4E9B-8155-26470C6FC8B4}"/>
                </a:ext>
              </a:extLst>
            </xdr14:cNvPr>
            <xdr14:cNvContentPartPr/>
          </xdr14:nvContentPartPr>
          <xdr14:nvPr macro=""/>
          <xdr14:xfrm>
            <a:off x="8823240" y="3910350"/>
            <a:ext cx="360" cy="360"/>
          </xdr14:xfrm>
        </xdr:contentPart>
      </mc:Choice>
      <mc:Fallback xmlns="">
        <xdr:pic>
          <xdr:nvPicPr>
            <xdr:cNvPr id="95" name="Ink 94">
              <a:extLst>
                <a:ext uri="{FF2B5EF4-FFF2-40B4-BE49-F238E27FC236}">
                  <a16:creationId xmlns:a16="http://schemas.microsoft.com/office/drawing/2014/main" id="{69F7303F-0C02-4E9B-8155-26470C6FC8B4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8814600" y="390171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608355</xdr:colOff>
      <xdr:row>14</xdr:row>
      <xdr:rowOff>85560</xdr:rowOff>
    </xdr:from>
    <xdr:to>
      <xdr:col>7</xdr:col>
      <xdr:colOff>855280</xdr:colOff>
      <xdr:row>19</xdr:row>
      <xdr:rowOff>175950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21" name="Ink 120">
              <a:extLst>
                <a:ext uri="{FF2B5EF4-FFF2-40B4-BE49-F238E27FC236}">
                  <a16:creationId xmlns:a16="http://schemas.microsoft.com/office/drawing/2014/main" id="{9EA7F8E1-B82D-4AB8-96DF-DB05E817BC98}"/>
                </a:ext>
              </a:extLst>
            </xdr14:cNvPr>
            <xdr14:cNvContentPartPr/>
          </xdr14:nvContentPartPr>
          <xdr14:nvPr macro=""/>
          <xdr14:xfrm>
            <a:off x="7371105" y="3228810"/>
            <a:ext cx="1598115" cy="1233390"/>
          </xdr14:xfrm>
        </xdr:contentPart>
      </mc:Choice>
      <mc:Fallback xmlns="">
        <xdr:pic>
          <xdr:nvPicPr>
            <xdr:cNvPr id="121" name="Ink 120">
              <a:extLst>
                <a:ext uri="{FF2B5EF4-FFF2-40B4-BE49-F238E27FC236}">
                  <a16:creationId xmlns:a16="http://schemas.microsoft.com/office/drawing/2014/main" id="{9EA7F8E1-B82D-4AB8-96DF-DB05E817BC98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7362443" y="3220265"/>
              <a:ext cx="1615800" cy="125083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204107</xdr:colOff>
      <xdr:row>15</xdr:row>
      <xdr:rowOff>181657</xdr:rowOff>
    </xdr:from>
    <xdr:to>
      <xdr:col>15</xdr:col>
      <xdr:colOff>149677</xdr:colOff>
      <xdr:row>21</xdr:row>
      <xdr:rowOff>223156</xdr:rowOff>
    </xdr:to>
    <xdr:pic>
      <xdr:nvPicPr>
        <xdr:cNvPr id="122" name="Graphic 12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6D55351-DC8E-4176-967D-99D2B8F8A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12164786" y="3624264"/>
          <a:ext cx="1306285" cy="1429428"/>
        </a:xfrm>
        <a:prstGeom prst="rect">
          <a:avLst/>
        </a:prstGeom>
      </xdr:spPr>
    </xdr:pic>
    <xdr:clientData/>
  </xdr:twoCellAnchor>
  <xdr:twoCellAnchor>
    <xdr:from>
      <xdr:col>1</xdr:col>
      <xdr:colOff>54428</xdr:colOff>
      <xdr:row>16</xdr:row>
      <xdr:rowOff>163286</xdr:rowOff>
    </xdr:from>
    <xdr:to>
      <xdr:col>2</xdr:col>
      <xdr:colOff>966106</xdr:colOff>
      <xdr:row>20</xdr:row>
      <xdr:rowOff>190501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C331FE5-8482-4973-97F0-F970C9BA1FF0}"/>
            </a:ext>
          </a:extLst>
        </xdr:cNvPr>
        <xdr:cNvSpPr txBox="1"/>
      </xdr:nvSpPr>
      <xdr:spPr>
        <a:xfrm>
          <a:off x="258535" y="3837215"/>
          <a:ext cx="2394857" cy="952500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fa-IR" sz="1400" b="1"/>
            <a:t>در</a:t>
          </a:r>
          <a:r>
            <a:rPr lang="fa-IR" sz="1400" b="1" baseline="0"/>
            <a:t> اين شيت مقايسه، هزينه توليد عادي به دليل ثابت بودن در تمامي سناريوهاي ممکن محاسبه نشده است.</a:t>
          </a:r>
          <a:endParaRPr lang="en-US" sz="1400" b="1" baseline="0"/>
        </a:p>
        <a:p>
          <a:pPr algn="r" rtl="1"/>
          <a:endParaRPr lang="en-US" sz="1400" b="0" baseline="0"/>
        </a:p>
        <a:p>
          <a:pPr algn="r" rtl="1"/>
          <a:r>
            <a:rPr lang="en-US" sz="1400" b="0"/>
            <a:t>‌</a:t>
          </a:r>
          <a:endParaRPr lang="fa-IR" sz="1400" b="0">
            <a:solidFill>
              <a:srgbClr val="00B050"/>
            </a:solidFill>
          </a:endParaRP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5-01T19:14:37.13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1,'0'0,"0"0,0 0,0 0,0 0,0 0,0 0,0 0,0 0,0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5-01T19:13:15.97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83 1,'2'25,"2"-1,0 1,1-1,2 0,13 33,-5-13,20 67,5-1,57 108,-81-186,2-1,1-1,1 0,2-2,0 0,2-2,1 0,2-2,0-1,1-1,36 21,-4-11,2-3,82 24,135 28,-228-67,0-3,1-1,0-4,0-1,75-4,-138 0,1-2,-1 1,0-2,0 1,1-1,-1-1,-10-4,-73-33,73 31,-77-37</inkml:trace>
  <inkml:trace contextRef="#ctx0" brushRef="#br0" timeOffset="1643.34">56 80,'0'4,"-4"110,3-102,-1 0,0 0,-1-1,0 1,-1 0,0-1,-7 13,11-24,0 0,0 1,0-1,0 0,0 0,0 1,0-1,0 0,-1 0,1 1,0-1,0 0,0 1,0-1,0 0,-1 0,1 0,0 1,0-1,0 0,-1 0,1 0,0 0,0 1,-1-1,1 0,0 0,0 0,-1 0,1 0,0 0,0 0,-1 0,1 0,0 0,-1 0,1 0,0 0,0 0,-1 0,1 0,0 0,-1 0,1 0,0 0,0 0,-1 0,1-1,-6-17,2-25,3 19,2-69,-1 87,1 0,-1 0,2 0,-1 0,1 0,0 0,0 0,0 0,1 1,0-1,7-9,-8 14,0 0,0-1,1 1,-1 0,1-1,-1 1,1 0,-1 0,1 1,0-1,-1 0,1 1,0 0,0 0,-1 0,1 0,0 0,0 0,-1 1,1-1,0 1,-1 0,1 0,-1 0,1 0,2 2,8 2,0 1,0 1,16 13,28 24,-15-12,1-2,2-1,62 30,-88-51,31 17,-53-20,-11-3,-16 0,5-2,0-1</inkml:trace>
  <inkml:trace contextRef="#ctx0" brushRef="#br0" timeOffset="73748.2">3037 753,'1'5,"-1"1,1-1,1 0,-1 1,1-1,4 8,2 9,29 125,35 287,-69-377,-4-51</inkml:trace>
  <inkml:trace contextRef="#ctx0" brushRef="#br0" timeOffset="74451.89">2823 1260,'-5'9,"1"0,-2-1,0 1,0-1,0 0,-1 0,-14 13,16-17,1 0,-1 0,0 0,0-1,-1 0,1 0,-1 0,1-1,-1 0,0 0,0 0,0-1,0 0,-9 0,12-1,0-1,1 0,-1 0,0 0,0 0,1 0,-1 0,0-1,1 0,0 1,-1-1,1 0,0 0,0 0,0-1,0 1,0 0,0-1,1 1,-1-1,1 0,0 1,0-1,0 0,0 0,0 0,1 0,-1 0,0-4,-1-7,1 0,0 1,0-2,3-26,-2 32,2 1,0-1,0 1,1 0,0 0,0-1,6-9,-8 16,-1 1,1-1,0 1,0-1,0 1,0 0,0-1,0 1,1 0,-1 0,0 0,1 0,-1 0,0 0,1 0,-1 1,1-1,-1 0,1 1,0-1,-1 1,1 0,0-1,-1 1,1 0,0 0,-1 0,1 0,0 1,-1-1,1 0,-1 1,1-1,0 1,-1-1,1 1,-1 0,1 0,-1-1,0 1,1 0,-1 1,0-1,0 0,2 2,6 6,0 1,-1 0,0 1,0 0,-1-1,-1 2,0 0,0 0,-2 0,1 1,-1-1,-1 1,3 17,0 15,-2-1,-1 70,-4-98,2 0,-2-1,0 0,-5 28,4-37</inkml:trace>
  <inkml:trace contextRef="#ctx0" brushRef="#br0" timeOffset="75477.25">2371 729,'0'61,"-2"-1,-3-1,-3 1,-2-1,-3 0,-2-1,-3-1,-41 90,54-136,0-1,-1 0,0-1,-1 1,-11 12,17-20,0-1,-1 1,1-1,-1 0,1 1,-1-1,0 0,0 0,1 0,-1 0,0 0,0-1,0 1,0-1,0 1,0-1,0 0,0 1,0-1,0 0,0 0,0-1,0 1,0 0,0-1,0 1,0-1,0 0,0 1,0-1,0 0,0 0,1 0,-1-1,0 1,1 0,-3-4,-8-7,1-2,0 1,1 0,-12-25,0 1,43 113,9 30,23 132,-46-187,-1 1,-3-1,-2 1,-11 96,8-134,-1 1,0-1,0 0,-2 0,0-1,0 0,-1 0,-1 0,-15 23,18-31,-1 0,1-1,-1 0,0 0,0 1,0-2,-1 1,1 0,-1-1,0 0,0-1,0 1,0-1,-1 0,1-1,0 0,-1 0,1 0,-1-1,0 0,1 0,-1 0,-10-3,3 0,0-1,0 0,0-1,0-1,1 0,0-1,0 0,1 0,1-2,-1 0,1 0,0-1,0-1,1 0,1 0,0-1,1 1,0-1,0-1,1 0,1-1,0 1,-4-17,5 14,0 0,1 0,1-1,0 1,1 0,1-1,1 0,0 0,1 1,1-1,0 1,2 0,0-1,0 1,1 0,1 1,1 0,0 0,1 0,11-14,9-4,-4 9</inkml:trace>
  <inkml:trace contextRef="#ctx0" brushRef="#br0" timeOffset="75909.12">1836 907,'0'0,"0"0,16-11,11-8,6-6,2-4,3-1,2-4,1 0,0 1,-2 0,-1 2,-7 6,-5 3,-8 6,-6 6</inkml:trace>
  <inkml:trace contextRef="#ctx0" brushRef="#br0" timeOffset="76246.61">2025 521,'0'0</inkml:trace>
  <inkml:trace contextRef="#ctx0" brushRef="#br0" timeOffset="77482.5">4033 1511,'0'0,"7"11,14 22,-1 0,-2 3,18 45,-29-62,-1 0,0 0,-2 0,0 1,-1 0,-1 0,-1-1,-2 31,1-48,0-1,0 1,-1 0,1 0,0-1,-1 1,1 0,-1-1,1 1,-1-1,0 1,0-1,0 1,0-1,0 1,0-1,0 0,0 1,0-1,-1 0,1 0,0 0,-1 0,1 0,-2 0,0 0,0 0,0-1,-1 0,1 1,0-1,0 0,0-1,0 1,0 0,0-1,0 0,-6-2,-8-4,-1-1,1-1,-24-17,33 21,-27-21,28 20,-1 0,1 0,-1 1,-1 0,1 0,-1 1,0 0,-14-5,23 9,-1 0,0 0,1 0,-1 0,0 0,0 0,1 0,-1 0,0 0,1 0,-1 0,0 1,1-1,-1 0,0 0,1 1,-1-1,1 1,-1-1,0 0,1 1,-1-1,1 1,-1-1,1 1,0-1,-1 1,1 0,-1 0,-4 27,12 30,-7-56,18 71,3-1,44 102,-39-112,-2 0,-4 3,22 110,-42-171</inkml:trace>
  <inkml:trace contextRef="#ctx0" brushRef="#br0" timeOffset="78256.23">3506 1856,'0'0,"0"0,0 0,0 0,7 8,13 26,0 1,-3-1,-1 3,-1 0,-2-1,-2 2,-1 0,-2 1,-2 0,-2 0,-1 0,-3 51,1-88,-1 0,0 0,0 0,-1 0,1 0,0 0,-1-1,1 1,-1 0,1 0,-1-1,0 1,0 0,0-1,0 1,0-1,0 0,0 0,0 1,-3 1,3-2,-1-1,1 0,0 1,-1-1,1 0,0 0,-1 0,1 0,0 0,-1-1,1 1,0 0,-1 0,1-1,0 1,-1-1,1 1,0-1,0 0,-3-1,-4-4,-1-1,1 0,0-1,1 0,-10-12,-16-33,28 42,-1 0,0 1,-1 0,0 0,0 0,-1 1,-13-10,21 18,0 1,-1 0,1 0,0 0,0-1,-1 1,1 0,0 0,0 0,-1 0,1-1,0 1,-1 0,1 0,0 0,-1 0,1 0,0 0,0 0,-1 0,1 0,0 0,-1 0,1 0,0 0,-1 0,1 0,0 0,0 1,-1-1,1 0,0 0,-1 0,1 0,0 1,0-1,-1 0,1 0,0 1,-4 15,6 28,-1-38,38 250,-24-180,-3 2,-3-1,-2 119,-13-154,4-35</inkml:trace>
  <inkml:trace contextRef="#ctx0" brushRef="#br0" timeOffset="78850.22">4328 576,'-21'29,"-166"201,-24 31,194-239,-74 99,4 5,-74 143,157-261,-6 12,1-1,-10 32,18-46,-1-1,1 1,0-1,0 0,1 1,0-1,0 0,0 1,0-1,0 1,1-1,0 1,0-1,0 1,0-1,1 0,0 0,3 6,2 0</inkml:trace>
  <inkml:trace contextRef="#ctx0" brushRef="#br0" timeOffset="79239.83">4238 678,'-110'106,"48"-50,-96 115,89-76,-78 147,128-209</inkml:trace>
  <inkml:trace contextRef="#ctx0" brushRef="#br0" timeOffset="80195.25">4049 534,'-11'27,"-2"-1,-1 0,-1-3,-1 2,-1-2,-26 27,2 1,28-35,-66 86,-121 196,185-270</inkml:trace>
  <inkml:trace contextRef="#ctx0" brushRef="#br0" timeOffset="80724.22">4417 2397,'0'0,"0"0,0 0,0 0,0 0,0 0,0 0</inkml:trace>
  <inkml:trace contextRef="#ctx0" brushRef="#br0" timeOffset="82012.73">3097 2084,'0'0,"0"0,0 0,0 0,4 26,23 82,-18-78,-1 0,-2 1,-1-1,-1 1,0 41,-4-71,0 0,0 0,0 1,0-1,0 0,0 0,0 0,0 0,0 0,-1 0,1 0,0 0,-1 0,1 0,0 0,-1-1,0 1,1 0,-1 0,1 0,-1 0,0-1,1 1,-1 0,0-1,0 1,0 0,0-1,0 1,-1 0,0-1,0-1,1 1,-1 0,0-1,0 1,0-1,0 1,0-1,1 0,-1 0,0 0,1 0,-1 0,-2-2,-7-7,1 0,0 0,-11-13,-27-49,35 48,-2 1,-18-21,33 44,0 0,-1-1,1 1,0 0,0-1,0 1,-1 0,1 0,0-1,-1 1,1 0,0 0,0 0,-1-1,1 1,0 0,-1 0,1 0,-1 0,1 0,0 0,-1 0,1 0,0 0,-1 0,1 0,0 0,-1 0,1 0,-1 0,1 0,0 0,-1 0,1 0,0 0,-1 0,1 1,0-1,-1 0,1 0,0 0,0 1,-1-1,1 0,0 0,0 1,-1-1,1 0,0 1,0-1,0 0,0 1,-1-1,1 0,0 1,0-1,0 0,0 1,0-1,0 1,0-1,0 0,0 1,0-1,0 0,0 1,-2 29,4 89,-2 103,-3-185,-1-1,-2-1,-1 1,-16 42,-17 25,34-92,1-1,-1 1,0-1,-1-1,-1 0,1 0,-13 10,9-10</inkml:trace>
  <inkml:trace contextRef="#ctx0" brushRef="#br0" timeOffset="82409.28">2531 2457,'0'0,"0"0,0 0,0 0,3 2,9 5,-1 1,1 1,-2 0,1 1,-1 0,-1 0,-1 0,1 1,-1 1,0 0,-1 0,-1 1,0 0,7 18,-10-20,1 1,-1 0,-1 1,0-1,-1 0,0 0,-1 0,0 1,-1-1,0 0,-1 1,0-1,-1 0,-1-1,0 0,0 1,-7 11,10-21,1 0,-1 0,0 0,0 0,0-1,-1 1,1 0,0-1,-1 1,1-1,0 1,-1-1,0 0,1 0,-1 0,0 1,0-2,1 1,-3 1,2-2,1 0,0-1,0 1,0 0,0-1,0 1,0-1,0 1,0-1,0 1,0-1,1 0,-1 1,0-1,0 0,0 0,1 1,-1-1,1 0,0 0,-1 0,1 0,-1 0,0-2,-2-5,0 0,0-1,1 1,0-1,0 0,1 1,0-11,1 7,1-1,0 1,0-1,2 1,-1 0,2 0,0 0,0 1,0-1,7-11,-2 9</inkml:trace>
  <inkml:trace contextRef="#ctx0" brushRef="#br0" timeOffset="82760.89">3571 3427,'0'0,"22"-10,23-10,17-9,13-7,12-7,-7 6,-18 7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 rtl="1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24" sqref="D24"/>
    </sheetView>
  </sheetViews>
  <sheetFormatPr defaultRowHeight="14.2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69A12-E820-4B50-AAF8-5B4A7A374516}">
  <sheetPr>
    <tabColor theme="1"/>
  </sheetPr>
  <dimension ref="B3:G21"/>
  <sheetViews>
    <sheetView showGridLines="0" tabSelected="1" zoomScaleNormal="100" workbookViewId="0">
      <selection activeCell="H21" sqref="H21"/>
    </sheetView>
  </sheetViews>
  <sheetFormatPr defaultColWidth="9" defaultRowHeight="18" x14ac:dyDescent="0.45"/>
  <cols>
    <col min="1" max="1" width="2.75" style="52" customWidth="1"/>
    <col min="2" max="2" width="19.5" style="52" bestFit="1" customWidth="1"/>
    <col min="3" max="3" width="17.625" style="52" bestFit="1" customWidth="1"/>
    <col min="4" max="4" width="16.125" style="52" bestFit="1" customWidth="1"/>
    <col min="5" max="6" width="18.5" style="52" bestFit="1" customWidth="1"/>
    <col min="7" max="7" width="17.625" style="52" bestFit="1" customWidth="1"/>
    <col min="8" max="8" width="11.25" style="52" bestFit="1" customWidth="1"/>
    <col min="9" max="16384" width="9" style="52"/>
  </cols>
  <sheetData>
    <row r="3" spans="2:7" ht="18.75" x14ac:dyDescent="0.45">
      <c r="B3" s="75" t="s">
        <v>78</v>
      </c>
      <c r="C3" s="75"/>
      <c r="D3" s="75"/>
      <c r="E3" s="75"/>
      <c r="F3" s="75"/>
      <c r="G3" s="75"/>
    </row>
    <row r="4" spans="2:7" ht="22.5" x14ac:dyDescent="0.45">
      <c r="B4" s="56" t="s">
        <v>77</v>
      </c>
      <c r="C4" s="54" t="s">
        <v>87</v>
      </c>
      <c r="D4" s="54" t="s">
        <v>88</v>
      </c>
      <c r="E4" s="54" t="s">
        <v>90</v>
      </c>
      <c r="F4" s="54" t="s">
        <v>91</v>
      </c>
      <c r="G4" s="58" t="s">
        <v>89</v>
      </c>
    </row>
    <row r="5" spans="2:7" ht="8.25" customHeight="1" x14ac:dyDescent="0.45"/>
    <row r="6" spans="2:7" ht="18.75" x14ac:dyDescent="0.45">
      <c r="B6" s="60" t="s">
        <v>79</v>
      </c>
      <c r="C6" s="59">
        <f>'Mixed Chase'!E24</f>
        <v>41456000</v>
      </c>
      <c r="D6" s="59">
        <f>'Mixed Chase'!F24</f>
        <v>257192727.27272725</v>
      </c>
      <c r="E6" s="59">
        <f>'Mixed Chase'!G24</f>
        <v>1437400000</v>
      </c>
      <c r="F6" s="59">
        <f>'Mixed Chase'!J24</f>
        <v>15834000</v>
      </c>
      <c r="G6" s="59">
        <f>SUM(C6:F6)</f>
        <v>1751882727.2727273</v>
      </c>
    </row>
    <row r="7" spans="2:7" ht="18.75" x14ac:dyDescent="0.45">
      <c r="B7" s="60" t="s">
        <v>80</v>
      </c>
      <c r="C7" s="59">
        <f>Level!E24</f>
        <v>1298237000</v>
      </c>
      <c r="D7" s="59">
        <f>Level!F24</f>
        <v>0</v>
      </c>
      <c r="E7" s="59">
        <f>Level!G24</f>
        <v>737300000</v>
      </c>
      <c r="F7" s="59">
        <f>Level!J24</f>
        <v>30580500</v>
      </c>
      <c r="G7" s="59">
        <f t="shared" ref="G7:G12" si="0">SUM(C7:F7)</f>
        <v>2066117500</v>
      </c>
    </row>
    <row r="8" spans="2:7" ht="18.75" x14ac:dyDescent="0.45">
      <c r="B8" s="60" t="s">
        <v>81</v>
      </c>
      <c r="C8" s="59">
        <f>'Hybrid 1'!E24</f>
        <v>405440000</v>
      </c>
      <c r="D8" s="59">
        <f>'Hybrid 1'!F24</f>
        <v>140596363.63636366</v>
      </c>
      <c r="E8" s="59">
        <f>'Hybrid 1'!G24</f>
        <v>565600000</v>
      </c>
      <c r="F8" s="59">
        <f>'Hybrid 1'!J24</f>
        <v>151626500</v>
      </c>
      <c r="G8" s="59">
        <f t="shared" si="0"/>
        <v>1263262863.6363635</v>
      </c>
    </row>
    <row r="9" spans="2:7" ht="18.75" x14ac:dyDescent="0.45">
      <c r="B9" s="60" t="s">
        <v>82</v>
      </c>
      <c r="C9" s="59">
        <f>'Hybrid 2'!E24</f>
        <v>313728000</v>
      </c>
      <c r="D9" s="59">
        <f>'Hybrid 2'!F24</f>
        <v>179258181.81818181</v>
      </c>
      <c r="E9" s="59">
        <f>'Hybrid 2'!G24</f>
        <v>331200000</v>
      </c>
      <c r="F9" s="59">
        <f>'Hybrid 2'!J24</f>
        <v>378058500</v>
      </c>
      <c r="G9" s="59">
        <f t="shared" si="0"/>
        <v>1202244681.8181818</v>
      </c>
    </row>
    <row r="10" spans="2:7" ht="18.75" x14ac:dyDescent="0.45">
      <c r="B10" s="60" t="s">
        <v>83</v>
      </c>
      <c r="C10" s="59">
        <f>'Workers Strategy'!E24</f>
        <v>41456000</v>
      </c>
      <c r="D10" s="59">
        <f>'Workers Strategy'!F24</f>
        <v>342196363.63636369</v>
      </c>
      <c r="E10" s="59">
        <f>'Workers Strategy'!G24</f>
        <v>412800000</v>
      </c>
      <c r="F10" s="59">
        <f>'Workers Strategy'!J24</f>
        <v>509051500</v>
      </c>
      <c r="G10" s="59">
        <f t="shared" si="0"/>
        <v>1305503863.6363637</v>
      </c>
    </row>
    <row r="11" spans="2:7" ht="18.75" x14ac:dyDescent="0.45">
      <c r="B11" s="60" t="s">
        <v>84</v>
      </c>
      <c r="C11" s="59">
        <f>'Inventory Strategy'!E24</f>
        <v>530016000</v>
      </c>
      <c r="D11" s="59">
        <f>'Inventory Strategy'!F24</f>
        <v>263301818.18181816</v>
      </c>
      <c r="E11" s="59">
        <f>'Inventory Strategy'!G24</f>
        <v>282400000</v>
      </c>
      <c r="F11" s="59">
        <f>'Inventory Strategy'!J24</f>
        <v>495885500</v>
      </c>
      <c r="G11" s="59">
        <f t="shared" si="0"/>
        <v>1571603318.181818</v>
      </c>
    </row>
    <row r="12" spans="2:7" ht="18.75" x14ac:dyDescent="0.45">
      <c r="B12" s="60" t="s">
        <v>85</v>
      </c>
      <c r="C12" s="59">
        <f>Lingo!E24</f>
        <v>292512000</v>
      </c>
      <c r="D12" s="59">
        <f>Lingo!F24</f>
        <v>30327272.72727273</v>
      </c>
      <c r="E12" s="59">
        <f>Lingo!G24</f>
        <v>458300000</v>
      </c>
      <c r="F12" s="59">
        <f>Lingo!J24</f>
        <v>5974000</v>
      </c>
      <c r="G12" s="59">
        <f t="shared" si="0"/>
        <v>787113272.72727275</v>
      </c>
    </row>
    <row r="13" spans="2:7" ht="8.25" customHeight="1" x14ac:dyDescent="0.45"/>
    <row r="14" spans="2:7" ht="22.5" x14ac:dyDescent="0.45">
      <c r="B14" s="53" t="s">
        <v>86</v>
      </c>
      <c r="C14" s="55" t="str">
        <f>INDEX($B$6:$B$12,MATCH(MIN(C6:C12),C6:C12,0))</f>
        <v>Mixed Chase</v>
      </c>
      <c r="D14" s="55" t="str">
        <f t="shared" ref="D14:G14" si="1">INDEX($B$6:$B$12,MATCH(MIN(D6:D12),D6:D12,0))</f>
        <v>Level</v>
      </c>
      <c r="E14" s="55" t="str">
        <f t="shared" si="1"/>
        <v>Inventory Strategy</v>
      </c>
      <c r="F14" s="55" t="str">
        <f t="shared" si="1"/>
        <v>Lingo</v>
      </c>
      <c r="G14" s="57" t="str">
        <f t="shared" si="1"/>
        <v>Lingo</v>
      </c>
    </row>
    <row r="18" spans="4:6" x14ac:dyDescent="0.45">
      <c r="D18" s="76" t="s">
        <v>92</v>
      </c>
      <c r="E18" s="76"/>
      <c r="F18" s="76"/>
    </row>
    <row r="21" spans="4:6" x14ac:dyDescent="0.45">
      <c r="D21" s="74" t="s">
        <v>93</v>
      </c>
      <c r="E21" s="74"/>
      <c r="F21" s="74"/>
    </row>
  </sheetData>
  <sheetProtection algorithmName="SHA-512" hashValue="FCyZS9KT5r582ayU2ONVMupnGqgMlJb54hNcpFaGGPJ3sGUNJJ6XRVRCHqTgWoONAYJ+uCcbR0ueuNhPFXDMKQ==" saltValue="y+2gMr5DYRxRNq3eljnjbQ==" spinCount="100000" sheet="1" objects="1" scenarios="1"/>
  <mergeCells count="3">
    <mergeCell ref="D21:F21"/>
    <mergeCell ref="B3:G3"/>
    <mergeCell ref="D18:F18"/>
  </mergeCells>
  <phoneticPr fontId="17" type="noConversion"/>
  <conditionalFormatting sqref="C6:C12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{2FBC180B-4F81-44A1-9A8E-79080B9341FD}</x14:id>
        </ext>
      </extLst>
    </cfRule>
  </conditionalFormatting>
  <conditionalFormatting sqref="D6:D12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{C3EBD618-C2FC-4AC6-84CE-AC08DBF2A183}</x14:id>
        </ext>
      </extLst>
    </cfRule>
  </conditionalFormatting>
  <conditionalFormatting sqref="E6:E12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{AFC294CE-01A2-4FAA-AC2E-E0269B150DA6}</x14:id>
        </ext>
      </extLst>
    </cfRule>
  </conditionalFormatting>
  <conditionalFormatting sqref="F6:F12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{EEC40DBD-05E1-4DE8-A13E-FA42FAA16811}</x14:id>
        </ext>
      </extLst>
    </cfRule>
  </conditionalFormatting>
  <conditionalFormatting sqref="G6:G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{FD6F2F46-7005-4625-AB3D-9D368B37F75B}</x14:id>
        </ext>
      </extLst>
    </cfRule>
  </conditionalFormatting>
  <hyperlinks>
    <hyperlink ref="B12" location="Lingo!A1" display="Lingo" xr:uid="{6CE7EDDF-013F-438D-8026-EC50C681ED76}"/>
    <hyperlink ref="B11" location="'Inventory Strategy'!A1" display="Inventory Strategy" xr:uid="{F70E0027-1ADF-41AF-A8F1-2F51C3D12D62}"/>
    <hyperlink ref="B10" location="'Workers Strategy'!A1" display="Workers Strategy" xr:uid="{5A434B73-BFA2-49D3-99D9-891BB412FFB8}"/>
    <hyperlink ref="B9" location="'Hybrid 2'!A1" display="Hybrid 2" xr:uid="{866E6E7E-7C18-4311-814A-20258991BF4A}"/>
    <hyperlink ref="B8" location="'Hybrid 1'!A1" display="Hybrid 1" xr:uid="{E92F2D9B-1FA5-4D6F-BAA7-BFDD96CC8DCA}"/>
    <hyperlink ref="B7" location="Level!A1" display="Level" xr:uid="{231BF69B-E953-47D8-9DAB-4882D5AB2A3F}"/>
    <hyperlink ref="B6" location="'Mixed Chase'!A1" display="Mixed Chase" xr:uid="{98D3345C-9700-41D2-8667-90B43CB9169D}"/>
  </hyperlink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BC180B-4F81-44A1-9A8E-79080B9341F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C6:C12</xm:sqref>
        </x14:conditionalFormatting>
        <x14:conditionalFormatting xmlns:xm="http://schemas.microsoft.com/office/excel/2006/main">
          <x14:cfRule type="dataBar" id="{C3EBD618-C2FC-4AC6-84CE-AC08DBF2A18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D6:D12</xm:sqref>
        </x14:conditionalFormatting>
        <x14:conditionalFormatting xmlns:xm="http://schemas.microsoft.com/office/excel/2006/main">
          <x14:cfRule type="dataBar" id="{AFC294CE-01A2-4FAA-AC2E-E0269B150DA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E6:E12</xm:sqref>
        </x14:conditionalFormatting>
        <x14:conditionalFormatting xmlns:xm="http://schemas.microsoft.com/office/excel/2006/main">
          <x14:cfRule type="dataBar" id="{EEC40DBD-05E1-4DE8-A13E-FA42FAA1681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F6:F12</xm:sqref>
        </x14:conditionalFormatting>
        <x14:conditionalFormatting xmlns:xm="http://schemas.microsoft.com/office/excel/2006/main">
          <x14:cfRule type="dataBar" id="{FD6F2F46-7005-4625-AB3D-9D368B37F7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G6:G12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8:Y27"/>
  <sheetViews>
    <sheetView topLeftCell="A7" workbookViewId="0">
      <selection activeCell="M32" sqref="M32"/>
    </sheetView>
  </sheetViews>
  <sheetFormatPr defaultRowHeight="14.25" x14ac:dyDescent="0.2"/>
  <cols>
    <col min="5" max="5" width="12.25" customWidth="1"/>
    <col min="6" max="6" width="12" customWidth="1"/>
    <col min="7" max="7" width="10.75" customWidth="1"/>
    <col min="8" max="8" width="13.625" customWidth="1"/>
    <col min="9" max="9" width="9.75" customWidth="1"/>
  </cols>
  <sheetData>
    <row r="8" spans="2:25" ht="15" customHeight="1" x14ac:dyDescent="0.2">
      <c r="E8" s="79" t="s">
        <v>22</v>
      </c>
      <c r="F8" s="79" t="s">
        <v>20</v>
      </c>
      <c r="G8" s="79" t="s">
        <v>19</v>
      </c>
      <c r="H8" s="79" t="s">
        <v>21</v>
      </c>
      <c r="I8" s="79" t="s">
        <v>18</v>
      </c>
      <c r="J8" s="79" t="s">
        <v>17</v>
      </c>
      <c r="K8" s="79" t="s">
        <v>45</v>
      </c>
      <c r="L8" s="79" t="s">
        <v>16</v>
      </c>
      <c r="M8" s="79" t="s">
        <v>44</v>
      </c>
      <c r="N8" s="77" t="s">
        <v>42</v>
      </c>
      <c r="O8" s="77" t="s">
        <v>52</v>
      </c>
      <c r="P8" s="78" t="s">
        <v>51</v>
      </c>
      <c r="Q8" s="79" t="s">
        <v>53</v>
      </c>
      <c r="R8" s="9" t="s">
        <v>41</v>
      </c>
      <c r="S8" s="9" t="s">
        <v>14</v>
      </c>
      <c r="T8" s="9" t="s">
        <v>43</v>
      </c>
      <c r="U8" s="9" t="s">
        <v>13</v>
      </c>
      <c r="V8" s="9" t="s">
        <v>40</v>
      </c>
      <c r="W8" s="9" t="s">
        <v>12</v>
      </c>
      <c r="X8" s="9" t="s">
        <v>39</v>
      </c>
      <c r="Y8" s="9" t="s">
        <v>48</v>
      </c>
    </row>
    <row r="9" spans="2:25" ht="15" x14ac:dyDescent="0.2">
      <c r="E9" s="80"/>
      <c r="F9" s="80"/>
      <c r="G9" s="80"/>
      <c r="H9" s="80"/>
      <c r="I9" s="80"/>
      <c r="J9" s="80"/>
      <c r="K9" s="80"/>
      <c r="L9" s="80"/>
      <c r="M9" s="80"/>
      <c r="N9" s="77"/>
      <c r="O9" s="77"/>
      <c r="P9" s="78"/>
      <c r="Q9" s="80"/>
      <c r="R9" s="10"/>
      <c r="S9" s="10"/>
      <c r="T9" s="10"/>
      <c r="U9" s="10"/>
      <c r="V9" s="10"/>
      <c r="W9" s="10"/>
      <c r="X9" s="10"/>
      <c r="Y9" s="10"/>
    </row>
    <row r="10" spans="2:25" ht="15" x14ac:dyDescent="0.2">
      <c r="E10" s="81"/>
      <c r="F10" s="81"/>
      <c r="G10" s="81"/>
      <c r="H10" s="81"/>
      <c r="I10" s="81"/>
      <c r="J10" s="81"/>
      <c r="K10" s="81"/>
      <c r="L10" s="81"/>
      <c r="M10" s="81"/>
      <c r="N10" s="77"/>
      <c r="O10" s="77"/>
      <c r="P10" s="78"/>
      <c r="Q10" s="81"/>
      <c r="R10" s="11"/>
      <c r="S10" s="11"/>
      <c r="T10" s="11"/>
      <c r="U10" s="11"/>
      <c r="V10" s="11"/>
      <c r="W10" s="11"/>
      <c r="X10" s="11"/>
      <c r="Y10" s="11"/>
    </row>
    <row r="11" spans="2:25" x14ac:dyDescent="0.2">
      <c r="B11" t="s">
        <v>22</v>
      </c>
      <c r="C11">
        <v>84000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v>14</v>
      </c>
      <c r="Q11" s="2">
        <f>C26</f>
        <v>14</v>
      </c>
      <c r="R11" s="1"/>
      <c r="S11" s="1"/>
      <c r="T11" s="1"/>
      <c r="U11" s="1"/>
      <c r="V11" s="1"/>
      <c r="W11" s="1"/>
      <c r="X11" s="1"/>
      <c r="Y11" s="1"/>
    </row>
    <row r="12" spans="2:25" ht="15" x14ac:dyDescent="0.25">
      <c r="B12" t="s">
        <v>23</v>
      </c>
      <c r="C12">
        <v>111000</v>
      </c>
      <c r="E12" s="3">
        <f t="shared" ref="E12:E23" si="0">(T12-N12)*$C$11*(60/$C$25)</f>
        <v>1199520000</v>
      </c>
      <c r="F12" s="3">
        <f t="shared" ref="F12:F23" si="1">S12*$C$13</f>
        <v>3728000</v>
      </c>
      <c r="G12" s="3">
        <f t="shared" ref="G12:G23" si="2">R12*$C$14</f>
        <v>0</v>
      </c>
      <c r="H12" s="3">
        <f>N12*(60/27)*$C$12</f>
        <v>132213333.33333333</v>
      </c>
      <c r="I12" s="3">
        <f>IF(L12&lt;=0,ABS(L12*$C$17),0)</f>
        <v>0</v>
      </c>
      <c r="J12" s="3">
        <f>IF(L12&gt;=0,L12*$C$16,0)</f>
        <v>14800000</v>
      </c>
      <c r="K12" s="3">
        <f>M12*$C$15</f>
        <v>0</v>
      </c>
      <c r="L12" s="3">
        <f t="shared" ref="L12:L23" si="3">P12-P11</f>
        <v>37</v>
      </c>
      <c r="M12" s="3">
        <f t="shared" ref="M12:M23" si="4">IF(((P12*X12*$C$19)-T12)&gt;=0,((P12*X12*$C$19)-T12),0)</f>
        <v>0</v>
      </c>
      <c r="N12" s="3">
        <f t="shared" ref="N12:N23" si="5">IF(T12-(P12*$C$19*X12)&gt;=0,T12-(P12*$C$19*X12),0)</f>
        <v>536</v>
      </c>
      <c r="O12" s="12">
        <f>P12*X12*$C$21</f>
        <v>3672</v>
      </c>
      <c r="P12" s="12">
        <v>51</v>
      </c>
      <c r="Q12" s="3">
        <f>IF(_xlfn.CEILING.MATH(T12/(X12*7))&lt;=$C$18,_xlfn.CEILING.MATH(T12/(X12*7)),$C$18)</f>
        <v>51</v>
      </c>
      <c r="R12" s="3">
        <f>IF(V12-U12-W12+R11&lt;=0,0,V12-U12-W12+R11)</f>
        <v>0</v>
      </c>
      <c r="S12" s="3">
        <f>IF(U12-V12+W12-R11&lt;0,0,U12-V12+W12-R11)</f>
        <v>233</v>
      </c>
      <c r="T12" s="3">
        <f t="shared" ref="T12:T23" si="6">_xlfn.CEILING.MATH(U12*($C$25/60))</f>
        <v>6962</v>
      </c>
      <c r="U12" s="3">
        <v>15471</v>
      </c>
      <c r="V12" s="3">
        <v>15238</v>
      </c>
      <c r="W12" s="3">
        <v>0</v>
      </c>
      <c r="X12" s="3">
        <v>18</v>
      </c>
      <c r="Y12" s="5" t="s">
        <v>0</v>
      </c>
    </row>
    <row r="13" spans="2:25" ht="15" x14ac:dyDescent="0.25">
      <c r="B13" t="s">
        <v>24</v>
      </c>
      <c r="C13">
        <v>16000</v>
      </c>
      <c r="E13" s="2">
        <f t="shared" si="0"/>
        <v>1266160000</v>
      </c>
      <c r="F13" s="2">
        <f t="shared" si="1"/>
        <v>0</v>
      </c>
      <c r="G13" s="2">
        <f t="shared" si="2"/>
        <v>122550000</v>
      </c>
      <c r="H13" s="2">
        <f t="shared" ref="H13:H23" si="7">N13*(60/27)*$C$12</f>
        <v>44153333.333333336</v>
      </c>
      <c r="I13" s="2">
        <f t="shared" ref="I13:I23" si="8">IF(L13&lt;=0,ABS(L13*$C$17),0)</f>
        <v>0</v>
      </c>
      <c r="J13" s="2">
        <f t="shared" ref="J13:J23" si="9">IF(L13&gt;=0,L13*$C$16,0)</f>
        <v>0</v>
      </c>
      <c r="K13" s="2">
        <f t="shared" ref="K13:K23" si="10">M13*$C$15</f>
        <v>0</v>
      </c>
      <c r="L13" s="8">
        <f t="shared" si="3"/>
        <v>0</v>
      </c>
      <c r="M13" s="8">
        <f t="shared" si="4"/>
        <v>0</v>
      </c>
      <c r="N13" s="8">
        <f t="shared" si="5"/>
        <v>179</v>
      </c>
      <c r="O13" s="1">
        <f t="shared" ref="O13:O24" si="11">P13*X13*$C$21</f>
        <v>3876</v>
      </c>
      <c r="P13" s="1">
        <v>51</v>
      </c>
      <c r="Q13" s="2">
        <f t="shared" ref="Q13:Q23" si="12">IF(_xlfn.CEILING.MATH(T13/(X13*7))&lt;=$C$18,_xlfn.CEILING.MATH(T13/(X13*7)),$C$18)</f>
        <v>51</v>
      </c>
      <c r="R13" s="8">
        <f>IF(V13-U13-W13+R12&lt;=0,0,V13-U13-W13+R12)</f>
        <v>2451</v>
      </c>
      <c r="S13" s="8">
        <f>IF(U13-V13+W13-R12&lt;0,0,U13-V13+W13-R12)</f>
        <v>0</v>
      </c>
      <c r="T13" s="2">
        <f t="shared" si="6"/>
        <v>6962</v>
      </c>
      <c r="U13" s="8">
        <v>15471</v>
      </c>
      <c r="V13" s="2">
        <v>18155</v>
      </c>
      <c r="W13" s="2">
        <f>S12</f>
        <v>233</v>
      </c>
      <c r="X13" s="2">
        <v>19</v>
      </c>
      <c r="Y13" s="6" t="s">
        <v>1</v>
      </c>
    </row>
    <row r="14" spans="2:25" ht="15" x14ac:dyDescent="0.25">
      <c r="B14" t="s">
        <v>25</v>
      </c>
      <c r="C14">
        <v>50000</v>
      </c>
      <c r="E14" s="3">
        <f t="shared" si="0"/>
        <v>960400000</v>
      </c>
      <c r="F14" s="3">
        <f t="shared" si="1"/>
        <v>29392000</v>
      </c>
      <c r="G14" s="3">
        <f t="shared" si="2"/>
        <v>0</v>
      </c>
      <c r="H14" s="3">
        <f t="shared" si="7"/>
        <v>448193333.33333331</v>
      </c>
      <c r="I14" s="3">
        <f t="shared" si="8"/>
        <v>16000000</v>
      </c>
      <c r="J14" s="3">
        <f t="shared" si="9"/>
        <v>0</v>
      </c>
      <c r="K14" s="3">
        <f t="shared" si="10"/>
        <v>0</v>
      </c>
      <c r="L14" s="3">
        <f t="shared" si="3"/>
        <v>-16</v>
      </c>
      <c r="M14" s="3">
        <f t="shared" si="4"/>
        <v>0</v>
      </c>
      <c r="N14" s="3">
        <f t="shared" si="5"/>
        <v>1817</v>
      </c>
      <c r="O14" s="12">
        <f t="shared" si="11"/>
        <v>2940</v>
      </c>
      <c r="P14" s="12">
        <v>35</v>
      </c>
      <c r="Q14" s="3">
        <f>IF(_xlfn.CEILING.MATH(T14/(X14*7))&lt;=$C$18,_xlfn.CEILING.MATH(T14/(X14*7)),$C$18)</f>
        <v>48</v>
      </c>
      <c r="R14" s="3">
        <f t="shared" ref="R14:R21" si="13">IF(V14-U14-W14+R13&lt;=0,0,V14-U14-W14+R13)</f>
        <v>0</v>
      </c>
      <c r="S14" s="3">
        <f>IF(U14-V14+W14-R13&lt;0,0,U14-V14+W14-R13)</f>
        <v>1837</v>
      </c>
      <c r="T14" s="3">
        <f t="shared" si="6"/>
        <v>6962</v>
      </c>
      <c r="U14" s="3">
        <v>15471</v>
      </c>
      <c r="V14" s="3">
        <v>11183</v>
      </c>
      <c r="W14" s="7">
        <f>S13</f>
        <v>0</v>
      </c>
      <c r="X14" s="3">
        <v>21</v>
      </c>
      <c r="Y14" s="5" t="s">
        <v>2</v>
      </c>
    </row>
    <row r="15" spans="2:25" ht="15" x14ac:dyDescent="0.25">
      <c r="B15" t="s">
        <v>46</v>
      </c>
      <c r="C15">
        <v>4500</v>
      </c>
      <c r="E15" s="2">
        <f t="shared" si="0"/>
        <v>1097600000</v>
      </c>
      <c r="F15" s="2">
        <f t="shared" si="1"/>
        <v>71680000</v>
      </c>
      <c r="G15" s="2">
        <f t="shared" si="2"/>
        <v>0</v>
      </c>
      <c r="H15" s="2">
        <f t="shared" si="7"/>
        <v>266893333.33333331</v>
      </c>
      <c r="I15" s="2">
        <f t="shared" si="8"/>
        <v>0</v>
      </c>
      <c r="J15" s="2">
        <f t="shared" si="9"/>
        <v>2800000</v>
      </c>
      <c r="K15" s="2">
        <f t="shared" si="10"/>
        <v>0</v>
      </c>
      <c r="L15" s="8">
        <f t="shared" si="3"/>
        <v>7</v>
      </c>
      <c r="M15" s="8">
        <f t="shared" si="4"/>
        <v>0</v>
      </c>
      <c r="N15" s="8">
        <f t="shared" si="5"/>
        <v>1082</v>
      </c>
      <c r="O15" s="1">
        <f t="shared" si="11"/>
        <v>3360</v>
      </c>
      <c r="P15" s="1">
        <v>42</v>
      </c>
      <c r="Q15" s="2">
        <f t="shared" si="12"/>
        <v>50</v>
      </c>
      <c r="R15" s="8">
        <f t="shared" si="13"/>
        <v>0</v>
      </c>
      <c r="S15" s="8">
        <f>IF(U15-V15+W15-R14&lt;0,0,U15-V15+W15-R14)</f>
        <v>4480</v>
      </c>
      <c r="T15" s="2">
        <f t="shared" si="6"/>
        <v>6962</v>
      </c>
      <c r="U15" s="8">
        <v>15471</v>
      </c>
      <c r="V15" s="2">
        <v>12828</v>
      </c>
      <c r="W15" s="2">
        <f>S14</f>
        <v>1837</v>
      </c>
      <c r="X15" s="2">
        <v>20</v>
      </c>
      <c r="Y15" s="6" t="s">
        <v>3</v>
      </c>
    </row>
    <row r="16" spans="2:25" ht="15" x14ac:dyDescent="0.25">
      <c r="B16" t="s">
        <v>26</v>
      </c>
      <c r="C16">
        <v>400000</v>
      </c>
      <c r="E16" s="3">
        <f t="shared" si="0"/>
        <v>1299573333.3333335</v>
      </c>
      <c r="F16" s="3">
        <f t="shared" si="1"/>
        <v>61840000</v>
      </c>
      <c r="G16" s="3">
        <f t="shared" si="2"/>
        <v>0</v>
      </c>
      <c r="H16" s="3">
        <f t="shared" si="7"/>
        <v>0</v>
      </c>
      <c r="I16" s="3">
        <f t="shared" si="8"/>
        <v>0</v>
      </c>
      <c r="J16" s="3">
        <f t="shared" si="9"/>
        <v>3200000</v>
      </c>
      <c r="K16" s="3">
        <f t="shared" si="10"/>
        <v>1746000</v>
      </c>
      <c r="L16" s="3">
        <f t="shared" si="3"/>
        <v>8</v>
      </c>
      <c r="M16" s="3">
        <f t="shared" si="4"/>
        <v>388</v>
      </c>
      <c r="N16" s="3">
        <f t="shared" si="5"/>
        <v>0</v>
      </c>
      <c r="O16" s="12">
        <f t="shared" si="11"/>
        <v>4200</v>
      </c>
      <c r="P16" s="12">
        <v>50</v>
      </c>
      <c r="Q16" s="3">
        <f t="shared" si="12"/>
        <v>48</v>
      </c>
      <c r="R16" s="3">
        <f>IF(V16-U16-W16+R15&lt;=0,0,V16-U16-W16+R15)</f>
        <v>0</v>
      </c>
      <c r="S16" s="3">
        <f t="shared" ref="S16:S23" si="14">IF(U16-V16+W16-R15&lt;0,0,U16-V16+W16-R15)</f>
        <v>3865</v>
      </c>
      <c r="T16" s="3">
        <f t="shared" si="6"/>
        <v>6962</v>
      </c>
      <c r="U16" s="3">
        <v>15471</v>
      </c>
      <c r="V16" s="3">
        <v>16086</v>
      </c>
      <c r="W16" s="7">
        <f t="shared" ref="W16:W23" si="15">S15</f>
        <v>4480</v>
      </c>
      <c r="X16" s="3">
        <v>21</v>
      </c>
      <c r="Y16" s="5" t="s">
        <v>4</v>
      </c>
    </row>
    <row r="17" spans="1:25" ht="15" x14ac:dyDescent="0.25">
      <c r="B17" t="s">
        <v>27</v>
      </c>
      <c r="C17">
        <v>1000000</v>
      </c>
      <c r="E17" s="2">
        <f t="shared" si="0"/>
        <v>1172080000</v>
      </c>
      <c r="F17" s="2">
        <f t="shared" si="1"/>
        <v>86864000</v>
      </c>
      <c r="G17" s="2">
        <f t="shared" si="2"/>
        <v>0</v>
      </c>
      <c r="H17" s="2">
        <f t="shared" si="7"/>
        <v>168473333.33333334</v>
      </c>
      <c r="I17" s="2">
        <f t="shared" si="8"/>
        <v>11000000</v>
      </c>
      <c r="J17" s="2">
        <f t="shared" si="9"/>
        <v>0</v>
      </c>
      <c r="K17" s="2">
        <f t="shared" si="10"/>
        <v>0</v>
      </c>
      <c r="L17" s="8">
        <f t="shared" si="3"/>
        <v>-11</v>
      </c>
      <c r="M17" s="8">
        <f t="shared" si="4"/>
        <v>0</v>
      </c>
      <c r="N17" s="8">
        <f t="shared" si="5"/>
        <v>683</v>
      </c>
      <c r="O17" s="1">
        <f t="shared" si="11"/>
        <v>3588</v>
      </c>
      <c r="P17" s="1">
        <v>39</v>
      </c>
      <c r="Q17" s="2">
        <f>IF(_xlfn.CEILING.MATH(T17/(X17*7))&lt;=$C$18,_xlfn.CEILING.MATH(T17/(X17*7)),$C$18)</f>
        <v>44</v>
      </c>
      <c r="R17" s="8">
        <f t="shared" si="13"/>
        <v>0</v>
      </c>
      <c r="S17" s="8">
        <f>IF(U17-V17+W17-R16&lt;0,0,U17-V17+W17-R16)</f>
        <v>5429</v>
      </c>
      <c r="T17" s="2">
        <f t="shared" si="6"/>
        <v>6962</v>
      </c>
      <c r="U17" s="8">
        <v>15471</v>
      </c>
      <c r="V17" s="2">
        <v>13907</v>
      </c>
      <c r="W17" s="2">
        <f t="shared" si="15"/>
        <v>3865</v>
      </c>
      <c r="X17" s="2">
        <v>23</v>
      </c>
      <c r="Y17" s="6" t="s">
        <v>5</v>
      </c>
    </row>
    <row r="18" spans="1:25" ht="15" x14ac:dyDescent="0.25">
      <c r="B18" t="s">
        <v>36</v>
      </c>
      <c r="C18">
        <v>51</v>
      </c>
      <c r="E18" s="3">
        <f t="shared" si="0"/>
        <v>910746666.66666675</v>
      </c>
      <c r="F18" s="3">
        <f t="shared" si="1"/>
        <v>162736000</v>
      </c>
      <c r="G18" s="3">
        <f t="shared" si="2"/>
        <v>0</v>
      </c>
      <c r="H18" s="3">
        <f t="shared" si="7"/>
        <v>513806666.66666663</v>
      </c>
      <c r="I18" s="3">
        <f t="shared" si="8"/>
        <v>0</v>
      </c>
      <c r="J18" s="3">
        <f t="shared" si="9"/>
        <v>800000</v>
      </c>
      <c r="K18" s="3">
        <f t="shared" si="10"/>
        <v>0</v>
      </c>
      <c r="L18" s="3">
        <f t="shared" si="3"/>
        <v>2</v>
      </c>
      <c r="M18" s="3">
        <f t="shared" si="4"/>
        <v>0</v>
      </c>
      <c r="N18" s="3">
        <f t="shared" si="5"/>
        <v>2083</v>
      </c>
      <c r="O18" s="12">
        <f t="shared" si="11"/>
        <v>2788</v>
      </c>
      <c r="P18" s="12">
        <v>41</v>
      </c>
      <c r="Q18" s="3">
        <f t="shared" si="12"/>
        <v>51</v>
      </c>
      <c r="R18" s="3">
        <f t="shared" si="13"/>
        <v>0</v>
      </c>
      <c r="S18" s="3">
        <f t="shared" si="14"/>
        <v>10171</v>
      </c>
      <c r="T18" s="3">
        <f t="shared" si="6"/>
        <v>6962</v>
      </c>
      <c r="U18" s="3">
        <v>15471</v>
      </c>
      <c r="V18" s="3">
        <v>10729</v>
      </c>
      <c r="W18" s="7">
        <f t="shared" si="15"/>
        <v>5429</v>
      </c>
      <c r="X18" s="3">
        <v>17</v>
      </c>
      <c r="Y18" s="5" t="s">
        <v>6</v>
      </c>
    </row>
    <row r="19" spans="1:25" ht="15" x14ac:dyDescent="0.25">
      <c r="B19" t="s">
        <v>28</v>
      </c>
      <c r="C19">
        <v>7</v>
      </c>
      <c r="E19" s="2">
        <f t="shared" si="0"/>
        <v>1299573333.3333335</v>
      </c>
      <c r="F19" s="2">
        <f t="shared" si="1"/>
        <v>150896000</v>
      </c>
      <c r="G19" s="2">
        <f t="shared" si="2"/>
        <v>0</v>
      </c>
      <c r="H19" s="2">
        <f t="shared" si="7"/>
        <v>0</v>
      </c>
      <c r="I19" s="2">
        <f t="shared" si="8"/>
        <v>0</v>
      </c>
      <c r="J19" s="2">
        <f t="shared" si="9"/>
        <v>3600000</v>
      </c>
      <c r="K19" s="2">
        <f t="shared" si="10"/>
        <v>1746000</v>
      </c>
      <c r="L19" s="8">
        <f t="shared" si="3"/>
        <v>9</v>
      </c>
      <c r="M19" s="8">
        <f t="shared" si="4"/>
        <v>388</v>
      </c>
      <c r="N19" s="8">
        <f t="shared" si="5"/>
        <v>0</v>
      </c>
      <c r="O19" s="1">
        <f t="shared" si="11"/>
        <v>4200</v>
      </c>
      <c r="P19" s="1">
        <v>50</v>
      </c>
      <c r="Q19" s="2">
        <f t="shared" si="12"/>
        <v>48</v>
      </c>
      <c r="R19" s="8">
        <f t="shared" si="13"/>
        <v>0</v>
      </c>
      <c r="S19" s="8">
        <f t="shared" si="14"/>
        <v>9431</v>
      </c>
      <c r="T19" s="2">
        <f t="shared" si="6"/>
        <v>6962</v>
      </c>
      <c r="U19" s="8">
        <v>15471</v>
      </c>
      <c r="V19" s="2">
        <v>16211</v>
      </c>
      <c r="W19" s="2">
        <f t="shared" si="15"/>
        <v>10171</v>
      </c>
      <c r="X19" s="2">
        <v>21</v>
      </c>
      <c r="Y19" s="6" t="s">
        <v>7</v>
      </c>
    </row>
    <row r="20" spans="1:25" ht="15" x14ac:dyDescent="0.25">
      <c r="B20" t="s">
        <v>29</v>
      </c>
      <c r="C20">
        <v>22</v>
      </c>
      <c r="E20" s="3">
        <f t="shared" si="0"/>
        <v>1299573333.3333335</v>
      </c>
      <c r="F20" s="3">
        <f t="shared" si="1"/>
        <v>134112000</v>
      </c>
      <c r="G20" s="3">
        <f t="shared" si="2"/>
        <v>0</v>
      </c>
      <c r="H20" s="3">
        <f t="shared" si="7"/>
        <v>0</v>
      </c>
      <c r="I20" s="3">
        <f t="shared" si="8"/>
        <v>1000000</v>
      </c>
      <c r="J20" s="3">
        <f t="shared" si="9"/>
        <v>0</v>
      </c>
      <c r="K20" s="3">
        <f t="shared" si="10"/>
        <v>2628000</v>
      </c>
      <c r="L20" s="3">
        <f t="shared" si="3"/>
        <v>-1</v>
      </c>
      <c r="M20" s="3">
        <f t="shared" si="4"/>
        <v>584</v>
      </c>
      <c r="N20" s="3">
        <f t="shared" si="5"/>
        <v>0</v>
      </c>
      <c r="O20" s="12">
        <f t="shared" si="11"/>
        <v>4312</v>
      </c>
      <c r="P20" s="12">
        <v>49</v>
      </c>
      <c r="Q20" s="3">
        <f t="shared" si="12"/>
        <v>46</v>
      </c>
      <c r="R20" s="3">
        <f t="shared" si="13"/>
        <v>0</v>
      </c>
      <c r="S20" s="3">
        <f t="shared" si="14"/>
        <v>8382</v>
      </c>
      <c r="T20" s="3">
        <f t="shared" si="6"/>
        <v>6962</v>
      </c>
      <c r="U20" s="3">
        <v>15471</v>
      </c>
      <c r="V20" s="3">
        <v>16520</v>
      </c>
      <c r="W20" s="7">
        <f t="shared" si="15"/>
        <v>9431</v>
      </c>
      <c r="X20" s="3">
        <v>22</v>
      </c>
      <c r="Y20" s="5" t="s">
        <v>8</v>
      </c>
    </row>
    <row r="21" spans="1:25" ht="15" x14ac:dyDescent="0.25">
      <c r="B21" t="s">
        <v>30</v>
      </c>
      <c r="C21">
        <v>4</v>
      </c>
      <c r="E21" s="2">
        <f t="shared" si="0"/>
        <v>1299573333.3333335</v>
      </c>
      <c r="F21" s="2">
        <f t="shared" si="1"/>
        <v>75616000</v>
      </c>
      <c r="G21" s="2">
        <f t="shared" si="2"/>
        <v>0</v>
      </c>
      <c r="H21" s="2">
        <f t="shared" si="7"/>
        <v>0</v>
      </c>
      <c r="I21" s="2">
        <f t="shared" si="8"/>
        <v>0</v>
      </c>
      <c r="J21" s="2">
        <f t="shared" si="9"/>
        <v>800000</v>
      </c>
      <c r="K21" s="2">
        <f t="shared" si="10"/>
        <v>2407500</v>
      </c>
      <c r="L21" s="8">
        <f t="shared" si="3"/>
        <v>2</v>
      </c>
      <c r="M21" s="8">
        <f t="shared" si="4"/>
        <v>535</v>
      </c>
      <c r="N21" s="8">
        <f t="shared" si="5"/>
        <v>0</v>
      </c>
      <c r="O21" s="1">
        <f t="shared" si="11"/>
        <v>4284</v>
      </c>
      <c r="P21" s="1">
        <v>51</v>
      </c>
      <c r="Q21" s="2">
        <f t="shared" si="12"/>
        <v>48</v>
      </c>
      <c r="R21" s="8">
        <f t="shared" si="13"/>
        <v>0</v>
      </c>
      <c r="S21" s="8">
        <f>IF(U21-V21+W21-R20&lt;0,0,U21-V21+W21-R20)</f>
        <v>4726</v>
      </c>
      <c r="T21" s="2">
        <f t="shared" si="6"/>
        <v>6962</v>
      </c>
      <c r="U21" s="8">
        <v>15471</v>
      </c>
      <c r="V21" s="2">
        <v>19127</v>
      </c>
      <c r="W21" s="2">
        <f t="shared" si="15"/>
        <v>8382</v>
      </c>
      <c r="X21" s="2">
        <v>21</v>
      </c>
      <c r="Y21" s="6" t="s">
        <v>9</v>
      </c>
    </row>
    <row r="22" spans="1:25" ht="15" x14ac:dyDescent="0.25">
      <c r="A22" s="87" t="s">
        <v>31</v>
      </c>
      <c r="B22" s="87"/>
      <c r="C22">
        <v>0</v>
      </c>
      <c r="E22" s="3">
        <f t="shared" si="0"/>
        <v>1266160000</v>
      </c>
      <c r="F22" s="3">
        <f t="shared" si="1"/>
        <v>85968000</v>
      </c>
      <c r="G22" s="3">
        <f t="shared" si="2"/>
        <v>0</v>
      </c>
      <c r="H22" s="3">
        <f t="shared" si="7"/>
        <v>44153333.333333336</v>
      </c>
      <c r="I22" s="3">
        <f t="shared" si="8"/>
        <v>0</v>
      </c>
      <c r="J22" s="3">
        <f t="shared" si="9"/>
        <v>0</v>
      </c>
      <c r="K22" s="3">
        <f t="shared" si="10"/>
        <v>0</v>
      </c>
      <c r="L22" s="3">
        <f t="shared" si="3"/>
        <v>0</v>
      </c>
      <c r="M22" s="3">
        <f t="shared" si="4"/>
        <v>0</v>
      </c>
      <c r="N22" s="3">
        <f t="shared" si="5"/>
        <v>179</v>
      </c>
      <c r="O22" s="12">
        <f t="shared" si="11"/>
        <v>3876</v>
      </c>
      <c r="P22" s="12">
        <v>51</v>
      </c>
      <c r="Q22" s="3">
        <f t="shared" si="12"/>
        <v>51</v>
      </c>
      <c r="R22" s="3">
        <f>IF(V22-U22-W22+R21&lt;=0,0,V22-U22-W22+R21)</f>
        <v>0</v>
      </c>
      <c r="S22" s="3">
        <f t="shared" si="14"/>
        <v>5373</v>
      </c>
      <c r="T22" s="3">
        <f t="shared" si="6"/>
        <v>6962</v>
      </c>
      <c r="U22" s="3">
        <v>15471</v>
      </c>
      <c r="V22" s="3">
        <v>14824</v>
      </c>
      <c r="W22" s="7">
        <f t="shared" si="15"/>
        <v>4726</v>
      </c>
      <c r="X22" s="3">
        <v>19</v>
      </c>
      <c r="Y22" s="5" t="s">
        <v>10</v>
      </c>
    </row>
    <row r="23" spans="1:25" ht="15" x14ac:dyDescent="0.25">
      <c r="B23" t="s">
        <v>33</v>
      </c>
      <c r="C23">
        <v>50000</v>
      </c>
      <c r="E23" s="2">
        <f t="shared" si="0"/>
        <v>1299573333.3333335</v>
      </c>
      <c r="F23" s="2">
        <f t="shared" si="1"/>
        <v>0</v>
      </c>
      <c r="G23" s="2">
        <f t="shared" si="2"/>
        <v>0</v>
      </c>
      <c r="H23" s="2">
        <f t="shared" si="7"/>
        <v>0</v>
      </c>
      <c r="I23" s="2">
        <f t="shared" si="8"/>
        <v>0</v>
      </c>
      <c r="J23" s="2">
        <f t="shared" si="9"/>
        <v>0</v>
      </c>
      <c r="K23" s="2">
        <f t="shared" si="10"/>
        <v>801000</v>
      </c>
      <c r="L23" s="8">
        <f t="shared" si="3"/>
        <v>0</v>
      </c>
      <c r="M23" s="8">
        <f t="shared" si="4"/>
        <v>178</v>
      </c>
      <c r="N23" s="8">
        <f t="shared" si="5"/>
        <v>0</v>
      </c>
      <c r="O23" s="1">
        <f t="shared" si="11"/>
        <v>4080</v>
      </c>
      <c r="P23" s="1">
        <v>51</v>
      </c>
      <c r="Q23" s="2">
        <f t="shared" si="12"/>
        <v>50</v>
      </c>
      <c r="R23" s="8">
        <f>IF(V23-U23-W23+R22&lt;=0,0,V23-U23-W23+R22)</f>
        <v>0</v>
      </c>
      <c r="S23" s="8">
        <f t="shared" si="14"/>
        <v>0</v>
      </c>
      <c r="T23" s="2">
        <f t="shared" si="6"/>
        <v>6962</v>
      </c>
      <c r="U23" s="8">
        <v>15471</v>
      </c>
      <c r="V23" s="2">
        <v>20844</v>
      </c>
      <c r="W23" s="2">
        <f t="shared" si="15"/>
        <v>5373</v>
      </c>
      <c r="X23" s="2">
        <v>20</v>
      </c>
      <c r="Y23" s="6" t="s">
        <v>11</v>
      </c>
    </row>
    <row r="24" spans="1:25" x14ac:dyDescent="0.2">
      <c r="B24" t="s">
        <v>38</v>
      </c>
      <c r="C24">
        <v>0</v>
      </c>
      <c r="E24" s="4">
        <f t="shared" ref="E24:K24" si="16">SUM(E12:E23)</f>
        <v>14370533333.333336</v>
      </c>
      <c r="F24" s="4">
        <f t="shared" si="16"/>
        <v>862832000</v>
      </c>
      <c r="G24" s="4">
        <f t="shared" si="16"/>
        <v>122550000</v>
      </c>
      <c r="H24" s="4">
        <f t="shared" si="16"/>
        <v>1617886666.6666665</v>
      </c>
      <c r="I24" s="4">
        <f t="shared" si="16"/>
        <v>28000000</v>
      </c>
      <c r="J24" s="4">
        <f t="shared" si="16"/>
        <v>26000000</v>
      </c>
      <c r="K24" s="4">
        <f t="shared" si="16"/>
        <v>9328500</v>
      </c>
      <c r="L24" s="4"/>
      <c r="M24" s="4">
        <f>SUM(M12:M23)</f>
        <v>2073</v>
      </c>
      <c r="N24" s="4">
        <f>SUM(N12:N23)</f>
        <v>6559</v>
      </c>
      <c r="O24" s="13">
        <f t="shared" si="11"/>
        <v>0</v>
      </c>
      <c r="P24" s="13"/>
      <c r="Q24" s="4"/>
      <c r="R24" s="4">
        <f t="shared" ref="R24:U24" si="17">SUM(R12:R23)</f>
        <v>2451</v>
      </c>
      <c r="S24" s="4">
        <f t="shared" si="17"/>
        <v>53927</v>
      </c>
      <c r="T24" s="4">
        <f t="shared" si="17"/>
        <v>83544</v>
      </c>
      <c r="U24" s="4">
        <f t="shared" si="17"/>
        <v>185652</v>
      </c>
      <c r="V24" s="4">
        <f>SUM(V12:V23)</f>
        <v>185652</v>
      </c>
      <c r="W24" s="4"/>
      <c r="X24" s="4">
        <f>SUM(X12:X23)</f>
        <v>242</v>
      </c>
      <c r="Y24" s="4" t="s">
        <v>47</v>
      </c>
    </row>
    <row r="25" spans="1:25" ht="15" customHeight="1" x14ac:dyDescent="0.2">
      <c r="B25" t="s">
        <v>34</v>
      </c>
      <c r="C25">
        <v>27</v>
      </c>
      <c r="E25" s="85">
        <f>SUM(E24:K24)</f>
        <v>17037130500.000002</v>
      </c>
      <c r="F25" s="85"/>
      <c r="G25" s="85"/>
      <c r="H25" s="85"/>
      <c r="I25" s="85"/>
      <c r="J25" s="83" t="s">
        <v>49</v>
      </c>
      <c r="K25" s="83"/>
    </row>
    <row r="26" spans="1:25" ht="15" customHeight="1" x14ac:dyDescent="0.2">
      <c r="B26" t="s">
        <v>35</v>
      </c>
      <c r="C26">
        <v>14</v>
      </c>
      <c r="E26" s="86"/>
      <c r="F26" s="86"/>
      <c r="G26" s="86"/>
      <c r="H26" s="86"/>
      <c r="I26" s="86"/>
      <c r="J26" s="84"/>
      <c r="K26" s="84"/>
    </row>
    <row r="27" spans="1:25" x14ac:dyDescent="0.2">
      <c r="A27" s="82"/>
      <c r="B27" s="82"/>
    </row>
  </sheetData>
  <mergeCells count="17">
    <mergeCell ref="A27:B27"/>
    <mergeCell ref="J25:K26"/>
    <mergeCell ref="E25:I26"/>
    <mergeCell ref="E8:E10"/>
    <mergeCell ref="A22:B22"/>
    <mergeCell ref="F8:F10"/>
    <mergeCell ref="G8:G10"/>
    <mergeCell ref="H8:H10"/>
    <mergeCell ref="I8:I10"/>
    <mergeCell ref="J8:J10"/>
    <mergeCell ref="K8:K10"/>
    <mergeCell ref="N8:N10"/>
    <mergeCell ref="O8:O10"/>
    <mergeCell ref="P8:P10"/>
    <mergeCell ref="Q8:Q10"/>
    <mergeCell ref="L8:L10"/>
    <mergeCell ref="M8:M10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8:Y34"/>
  <sheetViews>
    <sheetView workbookViewId="0">
      <selection activeCell="F37" sqref="F37"/>
    </sheetView>
  </sheetViews>
  <sheetFormatPr defaultRowHeight="14.25" x14ac:dyDescent="0.2"/>
  <cols>
    <col min="2" max="2" width="12.875" customWidth="1"/>
    <col min="5" max="5" width="14.75" customWidth="1"/>
    <col min="6" max="6" width="12" customWidth="1"/>
    <col min="7" max="7" width="11" customWidth="1"/>
    <col min="8" max="8" width="12.25" customWidth="1"/>
    <col min="12" max="12" width="12" bestFit="1" customWidth="1"/>
  </cols>
  <sheetData>
    <row r="8" spans="2:25" ht="15" customHeight="1" x14ac:dyDescent="0.2">
      <c r="E8" s="79" t="s">
        <v>22</v>
      </c>
      <c r="F8" s="79" t="s">
        <v>20</v>
      </c>
      <c r="G8" s="79" t="s">
        <v>19</v>
      </c>
      <c r="H8" s="79" t="s">
        <v>21</v>
      </c>
      <c r="I8" s="79" t="s">
        <v>18</v>
      </c>
      <c r="J8" s="79" t="s">
        <v>17</v>
      </c>
      <c r="K8" s="79" t="s">
        <v>45</v>
      </c>
      <c r="L8" s="79" t="s">
        <v>16</v>
      </c>
      <c r="M8" s="79" t="s">
        <v>44</v>
      </c>
      <c r="N8" s="77" t="s">
        <v>42</v>
      </c>
      <c r="O8" s="77" t="s">
        <v>52</v>
      </c>
      <c r="P8" s="77" t="s">
        <v>55</v>
      </c>
      <c r="Q8" s="79" t="s">
        <v>53</v>
      </c>
      <c r="R8" s="9" t="s">
        <v>41</v>
      </c>
      <c r="S8" s="9" t="s">
        <v>14</v>
      </c>
      <c r="T8" s="9" t="s">
        <v>43</v>
      </c>
      <c r="U8" s="9" t="s">
        <v>13</v>
      </c>
      <c r="V8" s="9" t="s">
        <v>40</v>
      </c>
      <c r="W8" s="9" t="s">
        <v>12</v>
      </c>
      <c r="X8" s="9" t="s">
        <v>39</v>
      </c>
      <c r="Y8" s="9" t="s">
        <v>48</v>
      </c>
    </row>
    <row r="9" spans="2:25" ht="15" x14ac:dyDescent="0.2">
      <c r="E9" s="80"/>
      <c r="F9" s="80"/>
      <c r="G9" s="80"/>
      <c r="H9" s="80"/>
      <c r="I9" s="80"/>
      <c r="J9" s="80"/>
      <c r="K9" s="80"/>
      <c r="L9" s="80"/>
      <c r="M9" s="80"/>
      <c r="N9" s="77"/>
      <c r="O9" s="77"/>
      <c r="P9" s="77"/>
      <c r="Q9" s="80"/>
      <c r="R9" s="10"/>
      <c r="S9" s="10"/>
      <c r="T9" s="10"/>
      <c r="U9" s="10"/>
      <c r="V9" s="10"/>
      <c r="W9" s="10"/>
      <c r="X9" s="10"/>
      <c r="Y9" s="10"/>
    </row>
    <row r="10" spans="2:25" ht="15" x14ac:dyDescent="0.2">
      <c r="E10" s="81"/>
      <c r="F10" s="81"/>
      <c r="G10" s="81"/>
      <c r="H10" s="81"/>
      <c r="I10" s="81"/>
      <c r="J10" s="81"/>
      <c r="K10" s="81"/>
      <c r="L10" s="81"/>
      <c r="M10" s="81"/>
      <c r="N10" s="77"/>
      <c r="O10" s="77"/>
      <c r="P10" s="77"/>
      <c r="Q10" s="81"/>
      <c r="R10" s="11"/>
      <c r="S10" s="11"/>
      <c r="T10" s="11"/>
      <c r="U10" s="11"/>
      <c r="V10" s="11"/>
      <c r="W10" s="11"/>
      <c r="X10" s="11"/>
      <c r="Y10" s="11"/>
    </row>
    <row r="11" spans="2:25" x14ac:dyDescent="0.2">
      <c r="B11" t="s">
        <v>22</v>
      </c>
      <c r="C11">
        <v>84000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v>14</v>
      </c>
      <c r="Q11" s="2">
        <f>C26</f>
        <v>14</v>
      </c>
      <c r="R11" s="1"/>
      <c r="S11" s="1"/>
      <c r="T11" s="1"/>
      <c r="U11" s="1"/>
      <c r="V11" s="1"/>
      <c r="W11" s="1"/>
      <c r="X11" s="1"/>
      <c r="Y11" s="1"/>
    </row>
    <row r="12" spans="2:25" ht="15" x14ac:dyDescent="0.25">
      <c r="B12" t="s">
        <v>23</v>
      </c>
      <c r="C12">
        <v>111000</v>
      </c>
      <c r="E12" s="3">
        <f t="shared" ref="E12:E23" si="0">(T12-N12)*$C$11*(60/$C$25)</f>
        <v>1199520000</v>
      </c>
      <c r="F12" s="3">
        <f t="shared" ref="F12:F23" si="1">S12*$C$13</f>
        <v>0</v>
      </c>
      <c r="G12" s="3">
        <f t="shared" ref="G12:G23" si="2">R12*$C$14</f>
        <v>0</v>
      </c>
      <c r="H12" s="3">
        <f>N12*(60/27)*$C$12</f>
        <v>106560000</v>
      </c>
      <c r="I12" s="3">
        <f>IF(L12&lt;=0,ABS(L12*$C$17),0)</f>
        <v>0</v>
      </c>
      <c r="J12" s="3">
        <f>IF(L12&gt;=0,L12*$C$16,0)</f>
        <v>14800000</v>
      </c>
      <c r="K12" s="3">
        <f>M12*$C$15</f>
        <v>0</v>
      </c>
      <c r="L12" s="3">
        <f t="shared" ref="L12:L23" si="3">P12-P11</f>
        <v>37</v>
      </c>
      <c r="M12" s="3">
        <f t="shared" ref="M12:M23" si="4">IF(((P12*X12*$C$19)-T12)&gt;=0,((P12*X12*$C$19)-T12),0)</f>
        <v>0</v>
      </c>
      <c r="N12" s="3">
        <f t="shared" ref="N12:N23" si="5">IF(T12-(P12*$C$19*X12)&gt;=0,T12-(P12*$C$19*X12),0)</f>
        <v>432</v>
      </c>
      <c r="O12" s="12">
        <f>P12*X12*$C$21</f>
        <v>3672</v>
      </c>
      <c r="P12" s="12">
        <v>51</v>
      </c>
      <c r="Q12" s="3">
        <f>IF(_xlfn.CEILING.MATH(T12/(X12*7))&lt;=$C$18,_xlfn.CEILING.MATH(T12/(X12*7)),$C$18)</f>
        <v>51</v>
      </c>
      <c r="R12" s="3">
        <f>IF(V12-U12-W12+R11&lt;=0,0,V12-U12-W12+R11)</f>
        <v>0</v>
      </c>
      <c r="S12" s="3">
        <f>IF(U12-V12+W12-R11&lt;0,0,U12-V12+W12-R11)</f>
        <v>0</v>
      </c>
      <c r="T12" s="3">
        <f t="shared" ref="T12:T23" si="6">_xlfn.CEILING.MATH(U12*($C$25/60))</f>
        <v>6858</v>
      </c>
      <c r="U12" s="3">
        <v>15238</v>
      </c>
      <c r="V12" s="3">
        <v>15238</v>
      </c>
      <c r="W12" s="3">
        <v>0</v>
      </c>
      <c r="X12" s="3">
        <v>18</v>
      </c>
      <c r="Y12" s="5" t="s">
        <v>0</v>
      </c>
    </row>
    <row r="13" spans="2:25" ht="15" x14ac:dyDescent="0.25">
      <c r="B13" t="s">
        <v>24</v>
      </c>
      <c r="C13">
        <v>16000</v>
      </c>
      <c r="E13" s="2">
        <f t="shared" si="0"/>
        <v>1266160000</v>
      </c>
      <c r="F13" s="2">
        <f t="shared" si="1"/>
        <v>0</v>
      </c>
      <c r="G13" s="2">
        <f t="shared" si="2"/>
        <v>0</v>
      </c>
      <c r="H13" s="2">
        <f t="shared" ref="H13:H23" si="7">N13*(60/27)*$C$12</f>
        <v>342126666.66666669</v>
      </c>
      <c r="I13" s="2">
        <f t="shared" ref="I13:I23" si="8">IF(L13&lt;=0,ABS(L13*$C$17),0)</f>
        <v>0</v>
      </c>
      <c r="J13" s="2">
        <f t="shared" ref="J13:J23" si="9">IF(L13&gt;=0,L13*$C$16,0)</f>
        <v>0</v>
      </c>
      <c r="K13" s="2">
        <f t="shared" ref="K13:K23" si="10">M13*$C$15</f>
        <v>0</v>
      </c>
      <c r="L13" s="8">
        <f t="shared" si="3"/>
        <v>0</v>
      </c>
      <c r="M13" s="8">
        <f t="shared" si="4"/>
        <v>0</v>
      </c>
      <c r="N13" s="8">
        <f t="shared" si="5"/>
        <v>1387</v>
      </c>
      <c r="O13" s="1">
        <f t="shared" ref="O13:O24" si="11">P13*X13*$C$21</f>
        <v>3876</v>
      </c>
      <c r="P13" s="1">
        <v>51</v>
      </c>
      <c r="Q13" s="2">
        <f t="shared" ref="Q13:Q23" si="12">IF(_xlfn.CEILING.MATH(T13/(X13*7))&lt;=$C$18,_xlfn.CEILING.MATH(T13/(X13*7)),$C$18)</f>
        <v>51</v>
      </c>
      <c r="R13" s="8">
        <f>IF(V13-U13-W13+R12&lt;=0,0,V13-U13-W13+R12)</f>
        <v>0</v>
      </c>
      <c r="S13" s="8">
        <f>IF(U13-V13+W13-R12&lt;0,0,U13-V13+W13-R12)</f>
        <v>0</v>
      </c>
      <c r="T13" s="2">
        <f t="shared" si="6"/>
        <v>8170</v>
      </c>
      <c r="U13" s="2">
        <v>18155</v>
      </c>
      <c r="V13" s="2">
        <v>18155</v>
      </c>
      <c r="W13" s="2">
        <f>S12</f>
        <v>0</v>
      </c>
      <c r="X13" s="2">
        <v>19</v>
      </c>
      <c r="Y13" s="6" t="s">
        <v>1</v>
      </c>
    </row>
    <row r="14" spans="2:25" ht="15" x14ac:dyDescent="0.25">
      <c r="B14" t="s">
        <v>25</v>
      </c>
      <c r="C14">
        <v>50000</v>
      </c>
      <c r="E14" s="3">
        <f t="shared" si="0"/>
        <v>939493333.33333337</v>
      </c>
      <c r="F14" s="3">
        <f t="shared" si="1"/>
        <v>0</v>
      </c>
      <c r="G14" s="3">
        <f t="shared" si="2"/>
        <v>0</v>
      </c>
      <c r="H14" s="3">
        <f t="shared" si="7"/>
        <v>0</v>
      </c>
      <c r="I14" s="3">
        <f t="shared" si="8"/>
        <v>10000000</v>
      </c>
      <c r="J14" s="3">
        <f t="shared" si="9"/>
        <v>0</v>
      </c>
      <c r="K14" s="3">
        <f t="shared" si="10"/>
        <v>4473000</v>
      </c>
      <c r="L14" s="3">
        <f t="shared" si="3"/>
        <v>-10</v>
      </c>
      <c r="M14" s="3">
        <f t="shared" si="4"/>
        <v>994</v>
      </c>
      <c r="N14" s="3">
        <f t="shared" si="5"/>
        <v>0</v>
      </c>
      <c r="O14" s="12">
        <f t="shared" si="11"/>
        <v>3444</v>
      </c>
      <c r="P14" s="12">
        <v>41</v>
      </c>
      <c r="Q14" s="3">
        <f>IF(_xlfn.CEILING.MATH(T14/(X14*7))&lt;=$C$18,_xlfn.CEILING.MATH(T14/(X14*7)),$C$18)</f>
        <v>35</v>
      </c>
      <c r="R14" s="3">
        <f t="shared" ref="R14:R21" si="13">IF(V14-U14-W14+R13&lt;=0,0,V14-U14-W14+R13)</f>
        <v>0</v>
      </c>
      <c r="S14" s="3">
        <f>IF(U14-V14+W14-R13&lt;0,0,U14-V14+W14-R13)</f>
        <v>0</v>
      </c>
      <c r="T14" s="3">
        <f t="shared" si="6"/>
        <v>5033</v>
      </c>
      <c r="U14" s="3">
        <v>11183</v>
      </c>
      <c r="V14" s="3">
        <v>11183</v>
      </c>
      <c r="W14" s="7">
        <f>S13</f>
        <v>0</v>
      </c>
      <c r="X14" s="3">
        <v>21</v>
      </c>
      <c r="Y14" s="5" t="s">
        <v>2</v>
      </c>
    </row>
    <row r="15" spans="2:25" ht="15" x14ac:dyDescent="0.25">
      <c r="B15" t="s">
        <v>46</v>
      </c>
      <c r="C15">
        <v>4500</v>
      </c>
      <c r="E15" s="2">
        <f t="shared" si="0"/>
        <v>1071466666.6666667</v>
      </c>
      <c r="F15" s="2">
        <f t="shared" si="1"/>
        <v>0</v>
      </c>
      <c r="G15" s="2">
        <f t="shared" si="2"/>
        <v>0</v>
      </c>
      <c r="H15" s="2">
        <f t="shared" si="7"/>
        <v>8140000.0000000009</v>
      </c>
      <c r="I15" s="2">
        <f t="shared" si="8"/>
        <v>0</v>
      </c>
      <c r="J15" s="2">
        <f t="shared" si="9"/>
        <v>0</v>
      </c>
      <c r="K15" s="2">
        <f t="shared" si="10"/>
        <v>0</v>
      </c>
      <c r="L15" s="8">
        <f t="shared" si="3"/>
        <v>0</v>
      </c>
      <c r="M15" s="8">
        <f t="shared" si="4"/>
        <v>0</v>
      </c>
      <c r="N15" s="8">
        <f t="shared" si="5"/>
        <v>33</v>
      </c>
      <c r="O15" s="1">
        <f t="shared" si="11"/>
        <v>3280</v>
      </c>
      <c r="P15" s="1">
        <v>41</v>
      </c>
      <c r="Q15" s="2">
        <f t="shared" si="12"/>
        <v>42</v>
      </c>
      <c r="R15" s="8">
        <f t="shared" si="13"/>
        <v>0</v>
      </c>
      <c r="S15" s="8">
        <f>IF(U15-V15+W15-R14&lt;0,0,U15-V15+W15-R14)</f>
        <v>0</v>
      </c>
      <c r="T15" s="2">
        <f t="shared" si="6"/>
        <v>5773</v>
      </c>
      <c r="U15" s="2">
        <v>12828</v>
      </c>
      <c r="V15" s="2">
        <v>12828</v>
      </c>
      <c r="W15" s="2">
        <f>S14</f>
        <v>0</v>
      </c>
      <c r="X15" s="2">
        <v>20</v>
      </c>
      <c r="Y15" s="6" t="s">
        <v>3</v>
      </c>
    </row>
    <row r="16" spans="2:25" ht="15" x14ac:dyDescent="0.25">
      <c r="B16" t="s">
        <v>26</v>
      </c>
      <c r="C16">
        <v>400000</v>
      </c>
      <c r="E16" s="3">
        <f t="shared" si="0"/>
        <v>1344560000</v>
      </c>
      <c r="F16" s="3">
        <f t="shared" si="1"/>
        <v>0</v>
      </c>
      <c r="G16" s="3">
        <f t="shared" si="2"/>
        <v>0</v>
      </c>
      <c r="H16" s="3">
        <f t="shared" si="7"/>
        <v>8880000</v>
      </c>
      <c r="I16" s="3">
        <f t="shared" si="8"/>
        <v>0</v>
      </c>
      <c r="J16" s="3">
        <f t="shared" si="9"/>
        <v>3200000</v>
      </c>
      <c r="K16" s="3">
        <f t="shared" si="10"/>
        <v>0</v>
      </c>
      <c r="L16" s="3">
        <f t="shared" si="3"/>
        <v>8</v>
      </c>
      <c r="M16" s="3">
        <f t="shared" si="4"/>
        <v>0</v>
      </c>
      <c r="N16" s="3">
        <f t="shared" si="5"/>
        <v>36</v>
      </c>
      <c r="O16" s="12">
        <f t="shared" si="11"/>
        <v>4116</v>
      </c>
      <c r="P16" s="12">
        <v>49</v>
      </c>
      <c r="Q16" s="3">
        <f t="shared" si="12"/>
        <v>50</v>
      </c>
      <c r="R16" s="3">
        <f>IF(V16-U16-W16+R15&lt;=0,0,V16-U16-W16+R15)</f>
        <v>0</v>
      </c>
      <c r="S16" s="3">
        <f t="shared" ref="S16:S23" si="14">IF(U16-V16+W16-R15&lt;0,0,U16-V16+W16-R15)</f>
        <v>0</v>
      </c>
      <c r="T16" s="3">
        <f t="shared" si="6"/>
        <v>7239</v>
      </c>
      <c r="U16" s="3">
        <v>16086</v>
      </c>
      <c r="V16" s="3">
        <v>16086</v>
      </c>
      <c r="W16" s="7">
        <f t="shared" ref="W16:W23" si="15">S15</f>
        <v>0</v>
      </c>
      <c r="X16" s="3">
        <v>21</v>
      </c>
      <c r="Y16" s="5" t="s">
        <v>4</v>
      </c>
    </row>
    <row r="17" spans="1:25" ht="15" x14ac:dyDescent="0.25">
      <c r="B17" t="s">
        <v>27</v>
      </c>
      <c r="C17">
        <v>1000000</v>
      </c>
      <c r="E17" s="2">
        <f t="shared" si="0"/>
        <v>1168346666.6666667</v>
      </c>
      <c r="F17" s="2">
        <f t="shared" si="1"/>
        <v>0</v>
      </c>
      <c r="G17" s="2">
        <f t="shared" si="2"/>
        <v>0</v>
      </c>
      <c r="H17" s="2">
        <f t="shared" si="7"/>
        <v>0</v>
      </c>
      <c r="I17" s="2">
        <f t="shared" si="8"/>
        <v>10000000</v>
      </c>
      <c r="J17" s="2">
        <f t="shared" si="9"/>
        <v>0</v>
      </c>
      <c r="K17" s="2">
        <f t="shared" si="10"/>
        <v>90000</v>
      </c>
      <c r="L17" s="8">
        <f t="shared" si="3"/>
        <v>-10</v>
      </c>
      <c r="M17" s="8">
        <f t="shared" si="4"/>
        <v>20</v>
      </c>
      <c r="N17" s="8">
        <f t="shared" si="5"/>
        <v>0</v>
      </c>
      <c r="O17" s="1">
        <f t="shared" si="11"/>
        <v>3588</v>
      </c>
      <c r="P17" s="1">
        <v>39</v>
      </c>
      <c r="Q17" s="2">
        <f>IF(_xlfn.CEILING.MATH(T17/(X17*7))&lt;=$C$18,_xlfn.CEILING.MATH(T17/(X17*7)),$C$18)</f>
        <v>39</v>
      </c>
      <c r="R17" s="8">
        <f t="shared" si="13"/>
        <v>0</v>
      </c>
      <c r="S17" s="8">
        <f>IF(U17-V17+W17-R16&lt;0,0,U17-V17+W17-R16)</f>
        <v>0</v>
      </c>
      <c r="T17" s="2">
        <f t="shared" si="6"/>
        <v>6259</v>
      </c>
      <c r="U17" s="2">
        <v>13907</v>
      </c>
      <c r="V17" s="2">
        <v>13907</v>
      </c>
      <c r="W17" s="2">
        <f t="shared" si="15"/>
        <v>0</v>
      </c>
      <c r="X17" s="2">
        <v>23</v>
      </c>
      <c r="Y17" s="6" t="s">
        <v>5</v>
      </c>
    </row>
    <row r="18" spans="1:25" ht="15" x14ac:dyDescent="0.25">
      <c r="B18" t="s">
        <v>36</v>
      </c>
      <c r="C18">
        <v>51</v>
      </c>
      <c r="E18" s="3">
        <f t="shared" si="0"/>
        <v>901413333.33333337</v>
      </c>
      <c r="F18" s="3">
        <f t="shared" si="1"/>
        <v>0</v>
      </c>
      <c r="G18" s="3">
        <f t="shared" si="2"/>
        <v>0</v>
      </c>
      <c r="H18" s="3">
        <f t="shared" si="7"/>
        <v>0</v>
      </c>
      <c r="I18" s="3">
        <f t="shared" si="8"/>
        <v>0</v>
      </c>
      <c r="J18" s="3">
        <f t="shared" si="9"/>
        <v>800000</v>
      </c>
      <c r="K18" s="3">
        <f t="shared" si="10"/>
        <v>225000</v>
      </c>
      <c r="L18" s="3">
        <f t="shared" si="3"/>
        <v>2</v>
      </c>
      <c r="M18" s="3">
        <f t="shared" si="4"/>
        <v>50</v>
      </c>
      <c r="N18" s="3">
        <f t="shared" si="5"/>
        <v>0</v>
      </c>
      <c r="O18" s="12">
        <f t="shared" si="11"/>
        <v>2788</v>
      </c>
      <c r="P18" s="12">
        <v>41</v>
      </c>
      <c r="Q18" s="3">
        <f t="shared" si="12"/>
        <v>41</v>
      </c>
      <c r="R18" s="3">
        <f t="shared" si="13"/>
        <v>0</v>
      </c>
      <c r="S18" s="3">
        <f t="shared" si="14"/>
        <v>0</v>
      </c>
      <c r="T18" s="3">
        <f t="shared" si="6"/>
        <v>4829</v>
      </c>
      <c r="U18" s="3">
        <v>10729</v>
      </c>
      <c r="V18" s="3">
        <v>10729</v>
      </c>
      <c r="W18" s="7">
        <f t="shared" si="15"/>
        <v>0</v>
      </c>
      <c r="X18" s="3">
        <v>17</v>
      </c>
      <c r="Y18" s="5" t="s">
        <v>6</v>
      </c>
    </row>
    <row r="19" spans="1:25" ht="15" x14ac:dyDescent="0.25">
      <c r="B19" t="s">
        <v>28</v>
      </c>
      <c r="C19">
        <v>7</v>
      </c>
      <c r="E19" s="2">
        <f t="shared" si="0"/>
        <v>1361733333.3333335</v>
      </c>
      <c r="F19" s="2">
        <f t="shared" si="1"/>
        <v>0</v>
      </c>
      <c r="G19" s="2">
        <f t="shared" si="2"/>
        <v>0</v>
      </c>
      <c r="H19" s="2">
        <f t="shared" si="7"/>
        <v>0</v>
      </c>
      <c r="I19" s="2">
        <f t="shared" si="8"/>
        <v>0</v>
      </c>
      <c r="J19" s="2">
        <f t="shared" si="9"/>
        <v>3600000</v>
      </c>
      <c r="K19" s="2">
        <f t="shared" si="10"/>
        <v>247500</v>
      </c>
      <c r="L19" s="8">
        <f t="shared" si="3"/>
        <v>9</v>
      </c>
      <c r="M19" s="8">
        <f t="shared" si="4"/>
        <v>55</v>
      </c>
      <c r="N19" s="8">
        <f t="shared" si="5"/>
        <v>0</v>
      </c>
      <c r="O19" s="1">
        <f t="shared" si="11"/>
        <v>4200</v>
      </c>
      <c r="P19" s="1">
        <v>50</v>
      </c>
      <c r="Q19" s="2">
        <f t="shared" si="12"/>
        <v>50</v>
      </c>
      <c r="R19" s="8">
        <f t="shared" si="13"/>
        <v>0</v>
      </c>
      <c r="S19" s="8">
        <f t="shared" si="14"/>
        <v>0</v>
      </c>
      <c r="T19" s="2">
        <f t="shared" si="6"/>
        <v>7295</v>
      </c>
      <c r="U19" s="2">
        <v>16211</v>
      </c>
      <c r="V19" s="2">
        <v>16211</v>
      </c>
      <c r="W19" s="2">
        <f t="shared" si="15"/>
        <v>0</v>
      </c>
      <c r="X19" s="2">
        <v>21</v>
      </c>
      <c r="Y19" s="6" t="s">
        <v>7</v>
      </c>
    </row>
    <row r="20" spans="1:25" ht="15" x14ac:dyDescent="0.25">
      <c r="B20" t="s">
        <v>29</v>
      </c>
      <c r="C20">
        <v>22</v>
      </c>
      <c r="E20" s="3">
        <f t="shared" si="0"/>
        <v>1387680000</v>
      </c>
      <c r="F20" s="3">
        <f t="shared" si="1"/>
        <v>0</v>
      </c>
      <c r="G20" s="3">
        <f t="shared" si="2"/>
        <v>0</v>
      </c>
      <c r="H20" s="3">
        <f t="shared" si="7"/>
        <v>0</v>
      </c>
      <c r="I20" s="3">
        <f t="shared" si="8"/>
        <v>1000000</v>
      </c>
      <c r="J20" s="3">
        <f t="shared" si="9"/>
        <v>0</v>
      </c>
      <c r="K20" s="3">
        <f t="shared" si="10"/>
        <v>504000</v>
      </c>
      <c r="L20" s="3">
        <f t="shared" si="3"/>
        <v>-1</v>
      </c>
      <c r="M20" s="3">
        <f t="shared" si="4"/>
        <v>112</v>
      </c>
      <c r="N20" s="3">
        <f t="shared" si="5"/>
        <v>0</v>
      </c>
      <c r="O20" s="12">
        <f t="shared" si="11"/>
        <v>4312</v>
      </c>
      <c r="P20" s="12">
        <v>49</v>
      </c>
      <c r="Q20" s="3">
        <f t="shared" si="12"/>
        <v>49</v>
      </c>
      <c r="R20" s="3">
        <f t="shared" si="13"/>
        <v>0</v>
      </c>
      <c r="S20" s="3">
        <f t="shared" si="14"/>
        <v>0</v>
      </c>
      <c r="T20" s="3">
        <f t="shared" si="6"/>
        <v>7434</v>
      </c>
      <c r="U20" s="3">
        <v>16520</v>
      </c>
      <c r="V20" s="3">
        <v>16520</v>
      </c>
      <c r="W20" s="7">
        <f t="shared" si="15"/>
        <v>0</v>
      </c>
      <c r="X20" s="3">
        <v>22</v>
      </c>
      <c r="Y20" s="5" t="s">
        <v>8</v>
      </c>
    </row>
    <row r="21" spans="1:25" ht="15" x14ac:dyDescent="0.25">
      <c r="B21" t="s">
        <v>30</v>
      </c>
      <c r="C21">
        <v>4</v>
      </c>
      <c r="E21" s="2">
        <f t="shared" si="0"/>
        <v>1399440000</v>
      </c>
      <c r="F21" s="2">
        <f t="shared" si="1"/>
        <v>0</v>
      </c>
      <c r="G21" s="2">
        <f t="shared" si="2"/>
        <v>0</v>
      </c>
      <c r="H21" s="2">
        <f t="shared" si="7"/>
        <v>274046666.66666669</v>
      </c>
      <c r="I21" s="2">
        <f t="shared" si="8"/>
        <v>0</v>
      </c>
      <c r="J21" s="2">
        <f t="shared" si="9"/>
        <v>800000</v>
      </c>
      <c r="K21" s="2">
        <f t="shared" si="10"/>
        <v>0</v>
      </c>
      <c r="L21" s="8">
        <f t="shared" si="3"/>
        <v>2</v>
      </c>
      <c r="M21" s="8">
        <f t="shared" si="4"/>
        <v>0</v>
      </c>
      <c r="N21" s="8">
        <f t="shared" si="5"/>
        <v>1111</v>
      </c>
      <c r="O21" s="1">
        <f t="shared" si="11"/>
        <v>4284</v>
      </c>
      <c r="P21" s="1">
        <v>51</v>
      </c>
      <c r="Q21" s="2">
        <f t="shared" si="12"/>
        <v>51</v>
      </c>
      <c r="R21" s="8">
        <f t="shared" si="13"/>
        <v>0</v>
      </c>
      <c r="S21" s="8">
        <f>IF(U21-V21+W21-R20&lt;0,0,U21-V21+W21-R20)</f>
        <v>0</v>
      </c>
      <c r="T21" s="2">
        <f t="shared" si="6"/>
        <v>8608</v>
      </c>
      <c r="U21" s="2">
        <v>19127</v>
      </c>
      <c r="V21" s="2">
        <v>19127</v>
      </c>
      <c r="W21" s="2">
        <f t="shared" si="15"/>
        <v>0</v>
      </c>
      <c r="X21" s="2">
        <v>21</v>
      </c>
      <c r="Y21" s="6" t="s">
        <v>9</v>
      </c>
    </row>
    <row r="22" spans="1:25" ht="15" x14ac:dyDescent="0.25">
      <c r="A22" s="87" t="s">
        <v>31</v>
      </c>
      <c r="B22" s="87"/>
      <c r="C22">
        <v>0</v>
      </c>
      <c r="E22" s="3">
        <f t="shared" si="0"/>
        <v>1245253333.3333335</v>
      </c>
      <c r="F22" s="3">
        <f t="shared" si="1"/>
        <v>0</v>
      </c>
      <c r="G22" s="3">
        <f t="shared" si="2"/>
        <v>0</v>
      </c>
      <c r="H22" s="3">
        <f t="shared" si="7"/>
        <v>0</v>
      </c>
      <c r="I22" s="3">
        <f t="shared" si="8"/>
        <v>0</v>
      </c>
      <c r="J22" s="3">
        <f t="shared" si="9"/>
        <v>0</v>
      </c>
      <c r="K22" s="3">
        <f t="shared" si="10"/>
        <v>504000</v>
      </c>
      <c r="L22" s="3">
        <f t="shared" si="3"/>
        <v>0</v>
      </c>
      <c r="M22" s="3">
        <f t="shared" si="4"/>
        <v>112</v>
      </c>
      <c r="N22" s="3">
        <f t="shared" si="5"/>
        <v>0</v>
      </c>
      <c r="O22" s="12">
        <f t="shared" si="11"/>
        <v>3876</v>
      </c>
      <c r="P22" s="12">
        <v>51</v>
      </c>
      <c r="Q22" s="3">
        <f t="shared" si="12"/>
        <v>51</v>
      </c>
      <c r="R22" s="3">
        <f>IF(V22-U22-W22+R21&lt;=0,0,V22-U22-W22+R21)</f>
        <v>0</v>
      </c>
      <c r="S22" s="3">
        <f t="shared" si="14"/>
        <v>0</v>
      </c>
      <c r="T22" s="3">
        <f t="shared" si="6"/>
        <v>6671</v>
      </c>
      <c r="U22" s="3">
        <v>14824</v>
      </c>
      <c r="V22" s="3">
        <v>14824</v>
      </c>
      <c r="W22" s="7">
        <f t="shared" si="15"/>
        <v>0</v>
      </c>
      <c r="X22" s="3">
        <v>19</v>
      </c>
      <c r="Y22" s="5" t="s">
        <v>10</v>
      </c>
    </row>
    <row r="23" spans="1:25" ht="15" x14ac:dyDescent="0.25">
      <c r="B23" t="s">
        <v>33</v>
      </c>
      <c r="C23">
        <v>50000</v>
      </c>
      <c r="E23" s="2">
        <f t="shared" si="0"/>
        <v>1332800000</v>
      </c>
      <c r="F23" s="2">
        <f t="shared" si="1"/>
        <v>0</v>
      </c>
      <c r="G23" s="2">
        <f t="shared" si="2"/>
        <v>0</v>
      </c>
      <c r="H23" s="2">
        <f t="shared" si="7"/>
        <v>552533333.33333337</v>
      </c>
      <c r="I23" s="2">
        <f t="shared" si="8"/>
        <v>0</v>
      </c>
      <c r="J23" s="2">
        <f t="shared" si="9"/>
        <v>0</v>
      </c>
      <c r="K23" s="2">
        <f t="shared" si="10"/>
        <v>0</v>
      </c>
      <c r="L23" s="8">
        <f t="shared" si="3"/>
        <v>0</v>
      </c>
      <c r="M23" s="8">
        <f t="shared" si="4"/>
        <v>0</v>
      </c>
      <c r="N23" s="8">
        <f t="shared" si="5"/>
        <v>2240</v>
      </c>
      <c r="O23" s="1">
        <f t="shared" si="11"/>
        <v>4080</v>
      </c>
      <c r="P23" s="1">
        <v>51</v>
      </c>
      <c r="Q23" s="2">
        <f t="shared" si="12"/>
        <v>51</v>
      </c>
      <c r="R23" s="8">
        <f>IF(V23-U23-W23+R22&lt;=0,0,V23-U23-W23+R22)</f>
        <v>0</v>
      </c>
      <c r="S23" s="8">
        <f t="shared" si="14"/>
        <v>0</v>
      </c>
      <c r="T23" s="2">
        <f t="shared" si="6"/>
        <v>9380</v>
      </c>
      <c r="U23" s="2">
        <v>20844</v>
      </c>
      <c r="V23" s="2">
        <v>20844</v>
      </c>
      <c r="W23" s="2">
        <f t="shared" si="15"/>
        <v>0</v>
      </c>
      <c r="X23" s="2">
        <v>20</v>
      </c>
      <c r="Y23" s="6" t="s">
        <v>11</v>
      </c>
    </row>
    <row r="24" spans="1:25" x14ac:dyDescent="0.2">
      <c r="B24" t="s">
        <v>38</v>
      </c>
      <c r="C24">
        <v>0</v>
      </c>
      <c r="E24" s="4">
        <f t="shared" ref="E24:K24" si="16">SUM(E12:E23)</f>
        <v>14617866666.666668</v>
      </c>
      <c r="F24" s="4">
        <f t="shared" si="16"/>
        <v>0</v>
      </c>
      <c r="G24" s="4">
        <f t="shared" si="16"/>
        <v>0</v>
      </c>
      <c r="H24" s="4">
        <f t="shared" si="16"/>
        <v>1292286666.6666667</v>
      </c>
      <c r="I24" s="4">
        <f t="shared" si="16"/>
        <v>21000000</v>
      </c>
      <c r="J24" s="4">
        <f t="shared" si="16"/>
        <v>23200000</v>
      </c>
      <c r="K24" s="4">
        <f t="shared" si="16"/>
        <v>6043500</v>
      </c>
      <c r="L24" s="4"/>
      <c r="M24" s="4">
        <f>SUM(M12:M23)</f>
        <v>1343</v>
      </c>
      <c r="N24" s="4">
        <f>SUM(N12:N23)</f>
        <v>5239</v>
      </c>
      <c r="O24" s="13">
        <f t="shared" si="11"/>
        <v>0</v>
      </c>
      <c r="P24" s="13"/>
      <c r="Q24" s="4"/>
      <c r="R24" s="4">
        <f t="shared" ref="R24:U24" si="17">SUM(R12:R23)</f>
        <v>0</v>
      </c>
      <c r="S24" s="4">
        <f t="shared" si="17"/>
        <v>0</v>
      </c>
      <c r="T24" s="4">
        <f t="shared" si="17"/>
        <v>83549</v>
      </c>
      <c r="U24" s="4">
        <f t="shared" si="17"/>
        <v>185652</v>
      </c>
      <c r="V24" s="4">
        <f>SUM(V12:V23)</f>
        <v>185652</v>
      </c>
      <c r="W24" s="4"/>
      <c r="X24" s="4">
        <f>SUM(X12:X23)</f>
        <v>242</v>
      </c>
      <c r="Y24" s="4" t="s">
        <v>47</v>
      </c>
    </row>
    <row r="25" spans="1:25" x14ac:dyDescent="0.2">
      <c r="B25" t="s">
        <v>34</v>
      </c>
      <c r="C25">
        <v>27</v>
      </c>
      <c r="E25" s="85">
        <f>SUM(E24:K24)</f>
        <v>15960396833.333334</v>
      </c>
      <c r="F25" s="85"/>
      <c r="G25" s="85"/>
      <c r="H25" s="85"/>
      <c r="I25" s="85"/>
      <c r="J25" s="83" t="s">
        <v>49</v>
      </c>
      <c r="K25" s="83"/>
    </row>
    <row r="26" spans="1:25" x14ac:dyDescent="0.2">
      <c r="B26" t="s">
        <v>35</v>
      </c>
      <c r="C26">
        <v>14</v>
      </c>
      <c r="E26" s="86"/>
      <c r="F26" s="86"/>
      <c r="G26" s="86"/>
      <c r="H26" s="86"/>
      <c r="I26" s="86"/>
      <c r="J26" s="84"/>
      <c r="K26" s="84"/>
    </row>
    <row r="28" spans="1:25" x14ac:dyDescent="0.2">
      <c r="H28">
        <f>E24</f>
        <v>14617866666.666668</v>
      </c>
    </row>
    <row r="29" spans="1:25" x14ac:dyDescent="0.2">
      <c r="H29">
        <f>F24</f>
        <v>0</v>
      </c>
    </row>
    <row r="30" spans="1:25" x14ac:dyDescent="0.2">
      <c r="H30">
        <f>G24</f>
        <v>0</v>
      </c>
    </row>
    <row r="31" spans="1:25" x14ac:dyDescent="0.2">
      <c r="G31" t="s">
        <v>50</v>
      </c>
      <c r="H31">
        <f>H24</f>
        <v>1292286666.6666667</v>
      </c>
    </row>
    <row r="32" spans="1:25" x14ac:dyDescent="0.2">
      <c r="H32">
        <f>I24</f>
        <v>21000000</v>
      </c>
    </row>
    <row r="33" spans="8:8" x14ac:dyDescent="0.2">
      <c r="H33">
        <f>J24</f>
        <v>23200000</v>
      </c>
    </row>
    <row r="34" spans="8:8" x14ac:dyDescent="0.2">
      <c r="H34">
        <f>K24</f>
        <v>6043500</v>
      </c>
    </row>
  </sheetData>
  <mergeCells count="16">
    <mergeCell ref="A22:B22"/>
    <mergeCell ref="E25:I26"/>
    <mergeCell ref="J25:K26"/>
    <mergeCell ref="Q8:Q10"/>
    <mergeCell ref="K8:K10"/>
    <mergeCell ref="L8:L10"/>
    <mergeCell ref="M8:M10"/>
    <mergeCell ref="N8:N10"/>
    <mergeCell ref="J8:J10"/>
    <mergeCell ref="P8:P10"/>
    <mergeCell ref="O8:O10"/>
    <mergeCell ref="E8:E10"/>
    <mergeCell ref="F8:F10"/>
    <mergeCell ref="G8:G10"/>
    <mergeCell ref="H8:H10"/>
    <mergeCell ref="I8:I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7CE88-CC68-4874-A151-BE907C46A342}">
  <sheetPr codeName="Sheet2">
    <tabColor theme="8" tint="-0.249977111117893"/>
  </sheetPr>
  <dimension ref="A1:Z38"/>
  <sheetViews>
    <sheetView showGridLines="0" zoomScale="85" zoomScaleNormal="85" workbookViewId="0">
      <selection activeCell="R17" sqref="R17"/>
    </sheetView>
  </sheetViews>
  <sheetFormatPr defaultColWidth="9" defaultRowHeight="14.25" x14ac:dyDescent="0.2"/>
  <sheetData>
    <row r="1" spans="1:26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x14ac:dyDescent="0.2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x14ac:dyDescent="0.2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x14ac:dyDescent="0.2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x14ac:dyDescent="0.2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</sheetData>
  <sheetProtection algorithmName="SHA-512" hashValue="diumcviwrGB8SxZoYoM9wOFHVXLwpmj3Po7Iui9p9ms45kOsQJJTVI4Wu79v5vsoUlQMBPX8NEv+XCRp+PHc4A==" saltValue="DBzukrtIsYE6RQjMtJBvFQ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E56"/>
  <sheetViews>
    <sheetView showGridLines="0" zoomScale="80" zoomScaleNormal="80" workbookViewId="0">
      <selection activeCell="E30" sqref="E30:I31"/>
    </sheetView>
  </sheetViews>
  <sheetFormatPr defaultColWidth="9" defaultRowHeight="18" x14ac:dyDescent="0.45"/>
  <cols>
    <col min="1" max="1" width="15.875" style="14" customWidth="1"/>
    <col min="2" max="2" width="29.125" style="14" bestFit="1" customWidth="1"/>
    <col min="3" max="3" width="17.625" style="14" bestFit="1" customWidth="1"/>
    <col min="4" max="4" width="9" style="14"/>
    <col min="5" max="5" width="11.625" style="14" customWidth="1"/>
    <col min="6" max="6" width="13.125" style="14" bestFit="1" customWidth="1"/>
    <col min="7" max="7" width="14.625" style="14" bestFit="1" customWidth="1"/>
    <col min="8" max="8" width="7.75" style="14" customWidth="1"/>
    <col min="9" max="9" width="10.125" style="14" bestFit="1" customWidth="1"/>
    <col min="10" max="10" width="15.375" style="14" bestFit="1" customWidth="1"/>
    <col min="11" max="11" width="13.375" style="14" customWidth="1"/>
    <col min="12" max="12" width="11.625" style="14" bestFit="1" customWidth="1"/>
    <col min="13" max="13" width="16.625" style="14" customWidth="1"/>
    <col min="14" max="14" width="10.25" style="14" customWidth="1"/>
    <col min="15" max="15" width="10.625" style="14" customWidth="1"/>
    <col min="16" max="16" width="10" style="14" customWidth="1"/>
    <col min="17" max="17" width="10.25" style="14" customWidth="1"/>
    <col min="18" max="18" width="10.625" style="14" customWidth="1"/>
    <col min="19" max="19" width="10.75" style="14" bestFit="1" customWidth="1"/>
    <col min="20" max="20" width="6.125" style="14" bestFit="1" customWidth="1"/>
    <col min="21" max="21" width="7.875" style="14" bestFit="1" customWidth="1"/>
    <col min="22" max="22" width="12.625" style="14" bestFit="1" customWidth="1"/>
    <col min="23" max="24" width="9.625" style="14" bestFit="1" customWidth="1"/>
    <col min="25" max="25" width="8.625" style="14" bestFit="1" customWidth="1"/>
    <col min="26" max="26" width="7.875" style="14" bestFit="1" customWidth="1"/>
    <col min="27" max="27" width="13.625" style="14" bestFit="1" customWidth="1"/>
    <col min="28" max="16384" width="9" style="14"/>
  </cols>
  <sheetData>
    <row r="1" spans="1:31" customFormat="1" ht="39.75" customHeight="1" x14ac:dyDescent="0.2">
      <c r="A1" s="51" t="str">
        <f>"                     ‌Production Planning  (Saya Oven Toaster (پارس خزر))       -     "</f>
        <v xml:space="preserve">                     ‌Production Planning  (Saya Oven Toaster (پارس خزر))       -     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7" spans="1:31" x14ac:dyDescent="0.45">
      <c r="G7" s="70" t="s">
        <v>66</v>
      </c>
      <c r="H7" s="70"/>
    </row>
    <row r="8" spans="1:31" ht="36.75" thickBot="1" x14ac:dyDescent="0.5">
      <c r="E8" s="65" t="s">
        <v>71</v>
      </c>
      <c r="F8" s="65" t="s">
        <v>72</v>
      </c>
      <c r="G8" s="65" t="s">
        <v>67</v>
      </c>
      <c r="H8" s="65" t="s">
        <v>16</v>
      </c>
      <c r="I8" s="65" t="s">
        <v>69</v>
      </c>
      <c r="J8" s="65" t="s">
        <v>45</v>
      </c>
      <c r="K8" s="65" t="s">
        <v>44</v>
      </c>
      <c r="L8" s="65" t="s">
        <v>42</v>
      </c>
      <c r="M8" s="65" t="s">
        <v>65</v>
      </c>
      <c r="N8" s="69" t="s">
        <v>64</v>
      </c>
      <c r="O8" s="69" t="s">
        <v>63</v>
      </c>
      <c r="P8" s="69" t="s">
        <v>62</v>
      </c>
      <c r="Q8" s="69" t="s">
        <v>61</v>
      </c>
      <c r="R8" s="68" t="s">
        <v>54</v>
      </c>
      <c r="S8" s="65" t="s">
        <v>15</v>
      </c>
      <c r="T8" s="65" t="s">
        <v>41</v>
      </c>
      <c r="U8" s="44" t="s">
        <v>14</v>
      </c>
      <c r="V8" s="65" t="s">
        <v>60</v>
      </c>
      <c r="W8" s="44" t="s">
        <v>13</v>
      </c>
      <c r="X8" s="44" t="s">
        <v>40</v>
      </c>
      <c r="Y8" s="65" t="s">
        <v>12</v>
      </c>
      <c r="Z8" s="65" t="s">
        <v>39</v>
      </c>
      <c r="AA8" s="44" t="s">
        <v>48</v>
      </c>
    </row>
    <row r="9" spans="1:31" ht="15" customHeight="1" x14ac:dyDescent="0.45">
      <c r="B9" s="31" t="s">
        <v>57</v>
      </c>
      <c r="C9" s="32" t="s">
        <v>37</v>
      </c>
      <c r="E9" s="66"/>
      <c r="F9" s="66"/>
      <c r="G9" s="66"/>
      <c r="H9" s="66"/>
      <c r="I9" s="66"/>
      <c r="J9" s="66"/>
      <c r="K9" s="66"/>
      <c r="L9" s="66"/>
      <c r="M9" s="66"/>
      <c r="N9" s="69"/>
      <c r="O9" s="69"/>
      <c r="P9" s="69"/>
      <c r="Q9" s="69"/>
      <c r="R9" s="68"/>
      <c r="S9" s="66"/>
      <c r="T9" s="66"/>
      <c r="U9" s="45"/>
      <c r="V9" s="66"/>
      <c r="W9" s="45"/>
      <c r="X9" s="45"/>
      <c r="Y9" s="66"/>
      <c r="Z9" s="66"/>
      <c r="AA9" s="45"/>
    </row>
    <row r="10" spans="1:31" ht="15" customHeight="1" x14ac:dyDescent="0.45">
      <c r="B10" s="33" t="s">
        <v>56</v>
      </c>
      <c r="C10" s="34">
        <f>C12-C11</f>
        <v>80000</v>
      </c>
      <c r="E10" s="67"/>
      <c r="F10" s="67"/>
      <c r="G10" s="67"/>
      <c r="H10" s="67"/>
      <c r="I10" s="67"/>
      <c r="J10" s="67"/>
      <c r="K10" s="67"/>
      <c r="L10" s="67"/>
      <c r="M10" s="67"/>
      <c r="N10" s="69"/>
      <c r="O10" s="69"/>
      <c r="P10" s="69"/>
      <c r="Q10" s="69"/>
      <c r="R10" s="68"/>
      <c r="S10" s="67"/>
      <c r="T10" s="67"/>
      <c r="U10" s="46"/>
      <c r="V10" s="67"/>
      <c r="W10" s="46"/>
      <c r="X10" s="46"/>
      <c r="Y10" s="67"/>
      <c r="Z10" s="67"/>
      <c r="AA10" s="46"/>
    </row>
    <row r="11" spans="1:31" ht="15" customHeight="1" x14ac:dyDescent="0.45">
      <c r="B11" s="33" t="s">
        <v>22</v>
      </c>
      <c r="C11" s="35">
        <v>870000</v>
      </c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1"/>
      <c r="P11" s="21"/>
      <c r="Q11" s="21"/>
      <c r="R11" s="21">
        <v>133</v>
      </c>
      <c r="S11" s="21"/>
      <c r="T11" s="20"/>
      <c r="U11" s="20"/>
      <c r="V11" s="20"/>
      <c r="W11" s="20">
        <f>X24/12</f>
        <v>15471</v>
      </c>
      <c r="X11" s="20"/>
      <c r="Y11" s="20"/>
      <c r="Z11" s="20"/>
      <c r="AA11" s="16"/>
    </row>
    <row r="12" spans="1:31" ht="15" customHeight="1" x14ac:dyDescent="0.45">
      <c r="B12" s="33" t="s">
        <v>23</v>
      </c>
      <c r="C12" s="35">
        <v>950000</v>
      </c>
      <c r="E12" s="22">
        <f t="shared" ref="E12:E23" si="0">MAX(T12*$C$14,U12*$C$13)</f>
        <v>0</v>
      </c>
      <c r="F12" s="21">
        <f>L12*(60/$C$27)*$C$10</f>
        <v>0</v>
      </c>
      <c r="G12" s="22">
        <f>IF(H12&gt;=0,H12*$C$18,ABS(H12*$C$19))</f>
        <v>18400000</v>
      </c>
      <c r="H12" s="22">
        <f t="shared" ref="H12:H23" si="1">R12-R11</f>
        <v>-8</v>
      </c>
      <c r="I12" s="29">
        <f>W12-W11</f>
        <v>-2633</v>
      </c>
      <c r="J12" s="22">
        <f t="shared" ref="J12:J23" si="2">K12*$C$17</f>
        <v>1276000</v>
      </c>
      <c r="K12" s="22">
        <f>MAX(0,Q12-V12)</f>
        <v>88</v>
      </c>
      <c r="L12" s="22">
        <f>MIN(MAX(0,V12-Q12),P12)</f>
        <v>0</v>
      </c>
      <c r="M12" s="22" t="str">
        <f>IF(V12&lt;Q12,"کار معمولی",IF(V12&lt;Q12+P12,"کار معمولی + اضافه کاری","کار معمولی، اضافه‌کاری و پیمانکاری"))</f>
        <v>کار معمولی</v>
      </c>
      <c r="N12" s="23">
        <f>O12+P12+Q12</f>
        <v>34125</v>
      </c>
      <c r="O12" s="24">
        <v>0</v>
      </c>
      <c r="P12" s="24">
        <f t="shared" ref="P12:P23" si="3">Z12*$C$23*R12</f>
        <v>10500</v>
      </c>
      <c r="Q12" s="24">
        <f>Z12*$C$22*R12</f>
        <v>23625</v>
      </c>
      <c r="R12" s="30">
        <v>125</v>
      </c>
      <c r="S12" s="22">
        <f t="shared" ref="S12:S23" si="4">MIN(_xlfn.CEILING.MATH(V12/(Z12*$C$22)),$C$21)</f>
        <v>125</v>
      </c>
      <c r="T12" s="26">
        <f t="shared" ref="T12:T22" si="5">MAX(0,X12-W12-Y12+T11)</f>
        <v>0</v>
      </c>
      <c r="U12" s="26">
        <f>MAX(0,W12-X12+Y12-T11)</f>
        <v>0</v>
      </c>
      <c r="V12" s="25">
        <f>_xlfn.CEILING.MATH(W12*($C$27/60))</f>
        <v>23537</v>
      </c>
      <c r="W12" s="30">
        <f>MAX(IF(ABS(X12-Y12-W11)&lt;$C$25,IF(X12-Y12-W11&gt;0,X12-Y12+$C$25-ABS(X12-Y12-W11),-$C$25+ABS(X12-Y12-W11)),X12-Y12),$C$24)+IF(ROW()=23,U12,0)</f>
        <v>12838</v>
      </c>
      <c r="X12" s="22">
        <v>15238</v>
      </c>
      <c r="Y12" s="22">
        <f>C29</f>
        <v>2400</v>
      </c>
      <c r="Z12" s="23">
        <v>21</v>
      </c>
      <c r="AA12" s="17" t="s">
        <v>0</v>
      </c>
    </row>
    <row r="13" spans="1:31" ht="15" customHeight="1" x14ac:dyDescent="0.45">
      <c r="B13" s="33" t="s">
        <v>59</v>
      </c>
      <c r="C13" s="35">
        <v>16000</v>
      </c>
      <c r="E13" s="22">
        <f t="shared" si="0"/>
        <v>0</v>
      </c>
      <c r="F13" s="21">
        <f>L13*(60/$C$27)*$C$10</f>
        <v>0</v>
      </c>
      <c r="G13" s="22">
        <f t="shared" ref="G13:G23" si="6">IF(H13&gt;=0,H13*$C$18,ABS(H13*$C$19))</f>
        <v>232200000</v>
      </c>
      <c r="H13" s="26">
        <f t="shared" si="1"/>
        <v>36</v>
      </c>
      <c r="I13" s="29">
        <f t="shared" ref="I13:I23" si="7">W13-W12</f>
        <v>5317</v>
      </c>
      <c r="J13" s="21">
        <f t="shared" si="2"/>
        <v>609000</v>
      </c>
      <c r="K13" s="22">
        <f t="shared" ref="K13:K23" si="8">MAX(0,Q13-V13)</f>
        <v>42</v>
      </c>
      <c r="L13" s="22">
        <f>MIN(MAX(0,V13-Q13),P13)</f>
        <v>0</v>
      </c>
      <c r="M13" s="22" t="str">
        <f t="shared" ref="M13:M23" si="9">IF(V13&lt;Q13,"کار معمولی",IF(V13&lt;Q13+P13,"کار معمولی + اضافه کاری","کار معمولی، اضافه‌کاری و پیمانکاری"))</f>
        <v>کار معمولی</v>
      </c>
      <c r="N13" s="23">
        <f t="shared" ref="N13:N23" si="10">O13+P13+Q13</f>
        <v>48139</v>
      </c>
      <c r="O13" s="24">
        <v>0</v>
      </c>
      <c r="P13" s="24">
        <f t="shared" si="3"/>
        <v>14812</v>
      </c>
      <c r="Q13" s="24">
        <f>Z13*$C$22*R13</f>
        <v>33327</v>
      </c>
      <c r="R13" s="30">
        <v>161</v>
      </c>
      <c r="S13" s="22">
        <f t="shared" si="4"/>
        <v>161</v>
      </c>
      <c r="T13" s="26">
        <f t="shared" si="5"/>
        <v>0</v>
      </c>
      <c r="U13" s="26">
        <f t="shared" ref="U13:U22" si="11">MAX(0,W13-X13+Y13-T12)</f>
        <v>0</v>
      </c>
      <c r="V13" s="25">
        <f>_xlfn.CEILING.MATH(W13*($C$27/60))</f>
        <v>33285</v>
      </c>
      <c r="W13" s="30">
        <f t="shared" ref="W13:W22" si="12">MAX(IF(ABS(X13-Y13-W12)&lt;$C$25,IF(X13-Y13-W12&gt;0,X13-Y13+$C$25-ABS(X13-Y13-W12),-$C$25+ABS(X13-Y13-W12)),X13-Y13),$C$24)+IF(ROW()=23,U13,0)</f>
        <v>18155</v>
      </c>
      <c r="X13" s="21">
        <v>18155</v>
      </c>
      <c r="Y13" s="26">
        <f t="shared" ref="Y13:Y23" si="13">U12</f>
        <v>0</v>
      </c>
      <c r="Z13" s="23">
        <v>23</v>
      </c>
      <c r="AA13" s="18" t="s">
        <v>1</v>
      </c>
    </row>
    <row r="14" spans="1:31" ht="15" customHeight="1" x14ac:dyDescent="0.45">
      <c r="B14" s="33" t="s">
        <v>25</v>
      </c>
      <c r="C14" s="35">
        <v>255000</v>
      </c>
      <c r="E14" s="22">
        <f t="shared" si="0"/>
        <v>0</v>
      </c>
      <c r="F14" s="21">
        <f t="shared" ref="F14:F23" si="14">L14*(60/$C$27)*$C$10</f>
        <v>0</v>
      </c>
      <c r="G14" s="22">
        <f>IF(H14&gt;=0,H14*$C$18,ABS(H14*$C$19))</f>
        <v>151800000</v>
      </c>
      <c r="H14" s="22">
        <f t="shared" si="1"/>
        <v>-66</v>
      </c>
      <c r="I14" s="29">
        <f>W14-W13</f>
        <v>-6972</v>
      </c>
      <c r="J14" s="22">
        <f>K14*$C$17</f>
        <v>246500</v>
      </c>
      <c r="K14" s="22">
        <f t="shared" si="8"/>
        <v>17</v>
      </c>
      <c r="L14" s="22">
        <f t="shared" ref="L14:L23" si="15">MIN(MAX(0,V14-Q14),P14)</f>
        <v>0</v>
      </c>
      <c r="M14" s="22" t="str">
        <f t="shared" si="9"/>
        <v>کار معمولی</v>
      </c>
      <c r="N14" s="23">
        <f t="shared" si="10"/>
        <v>29640</v>
      </c>
      <c r="O14" s="24">
        <v>0</v>
      </c>
      <c r="P14" s="24">
        <f t="shared" si="3"/>
        <v>9120</v>
      </c>
      <c r="Q14" s="24">
        <f t="shared" ref="Q14:Q23" si="16">Z14*$C$22*R14</f>
        <v>20520</v>
      </c>
      <c r="R14" s="30">
        <v>95</v>
      </c>
      <c r="S14" s="22">
        <f t="shared" si="4"/>
        <v>95</v>
      </c>
      <c r="T14" s="26">
        <f t="shared" si="5"/>
        <v>0</v>
      </c>
      <c r="U14" s="26">
        <f t="shared" si="11"/>
        <v>0</v>
      </c>
      <c r="V14" s="25">
        <f t="shared" ref="V14:V23" si="17">_xlfn.CEILING.MATH(W14*($C$27/60))</f>
        <v>20503</v>
      </c>
      <c r="W14" s="30">
        <f t="shared" si="12"/>
        <v>11183</v>
      </c>
      <c r="X14" s="22">
        <v>11183</v>
      </c>
      <c r="Y14" s="22">
        <f t="shared" si="13"/>
        <v>0</v>
      </c>
      <c r="Z14" s="23">
        <v>24</v>
      </c>
      <c r="AA14" s="17" t="s">
        <v>2</v>
      </c>
    </row>
    <row r="15" spans="1:31" ht="18.75" x14ac:dyDescent="0.45">
      <c r="B15" s="36" t="s">
        <v>32</v>
      </c>
      <c r="C15" s="35">
        <v>1000</v>
      </c>
      <c r="E15" s="22">
        <f t="shared" si="0"/>
        <v>0</v>
      </c>
      <c r="F15" s="21">
        <f t="shared" si="14"/>
        <v>0</v>
      </c>
      <c r="G15" s="22">
        <f t="shared" si="6"/>
        <v>38700000</v>
      </c>
      <c r="H15" s="26">
        <f t="shared" si="1"/>
        <v>6</v>
      </c>
      <c r="I15" s="29">
        <f t="shared" si="7"/>
        <v>1645</v>
      </c>
      <c r="J15" s="21">
        <f t="shared" si="2"/>
        <v>1682000</v>
      </c>
      <c r="K15" s="22">
        <f t="shared" si="8"/>
        <v>116</v>
      </c>
      <c r="L15" s="22">
        <f t="shared" si="15"/>
        <v>0</v>
      </c>
      <c r="M15" s="22" t="str">
        <f t="shared" si="9"/>
        <v>کار معمولی</v>
      </c>
      <c r="N15" s="23">
        <f t="shared" si="10"/>
        <v>34138</v>
      </c>
      <c r="O15" s="24">
        <v>0</v>
      </c>
      <c r="P15" s="24">
        <f t="shared" si="3"/>
        <v>10504</v>
      </c>
      <c r="Q15" s="24">
        <f t="shared" si="16"/>
        <v>23634</v>
      </c>
      <c r="R15" s="30">
        <v>101</v>
      </c>
      <c r="S15" s="22">
        <f t="shared" si="4"/>
        <v>101</v>
      </c>
      <c r="T15" s="26">
        <f t="shared" si="5"/>
        <v>0</v>
      </c>
      <c r="U15" s="26">
        <f t="shared" si="11"/>
        <v>0</v>
      </c>
      <c r="V15" s="25">
        <f t="shared" si="17"/>
        <v>23518</v>
      </c>
      <c r="W15" s="30">
        <f t="shared" si="12"/>
        <v>12828</v>
      </c>
      <c r="X15" s="21">
        <v>12828</v>
      </c>
      <c r="Y15" s="26">
        <f t="shared" si="13"/>
        <v>0</v>
      </c>
      <c r="Z15" s="23">
        <v>26</v>
      </c>
      <c r="AA15" s="18" t="s">
        <v>3</v>
      </c>
    </row>
    <row r="16" spans="1:31" ht="15" customHeight="1" x14ac:dyDescent="0.45">
      <c r="B16" s="33" t="s">
        <v>70</v>
      </c>
      <c r="C16" s="35">
        <v>50000</v>
      </c>
      <c r="E16" s="22">
        <f t="shared" si="0"/>
        <v>0</v>
      </c>
      <c r="F16" s="21">
        <f t="shared" si="14"/>
        <v>0</v>
      </c>
      <c r="G16" s="22">
        <f t="shared" si="6"/>
        <v>270900000</v>
      </c>
      <c r="H16" s="22">
        <f t="shared" si="1"/>
        <v>42</v>
      </c>
      <c r="I16" s="29">
        <f t="shared" si="7"/>
        <v>3258</v>
      </c>
      <c r="J16" s="22">
        <f t="shared" si="2"/>
        <v>1595000</v>
      </c>
      <c r="K16" s="22">
        <f t="shared" si="8"/>
        <v>110</v>
      </c>
      <c r="L16" s="22">
        <f t="shared" si="15"/>
        <v>0</v>
      </c>
      <c r="M16" s="22" t="str">
        <f t="shared" si="9"/>
        <v>کار معمولی</v>
      </c>
      <c r="N16" s="23">
        <f t="shared" si="10"/>
        <v>42757</v>
      </c>
      <c r="O16" s="24">
        <v>0</v>
      </c>
      <c r="P16" s="24">
        <f t="shared" si="3"/>
        <v>13156</v>
      </c>
      <c r="Q16" s="24">
        <f t="shared" si="16"/>
        <v>29601</v>
      </c>
      <c r="R16" s="30">
        <v>143</v>
      </c>
      <c r="S16" s="22">
        <f t="shared" si="4"/>
        <v>143</v>
      </c>
      <c r="T16" s="26">
        <f t="shared" si="5"/>
        <v>0</v>
      </c>
      <c r="U16" s="26">
        <f t="shared" si="11"/>
        <v>0</v>
      </c>
      <c r="V16" s="25">
        <f t="shared" si="17"/>
        <v>29491</v>
      </c>
      <c r="W16" s="30">
        <f t="shared" si="12"/>
        <v>16086</v>
      </c>
      <c r="X16" s="22">
        <v>16086</v>
      </c>
      <c r="Y16" s="22">
        <f t="shared" si="13"/>
        <v>0</v>
      </c>
      <c r="Z16" s="23">
        <v>23</v>
      </c>
      <c r="AA16" s="17" t="s">
        <v>4</v>
      </c>
    </row>
    <row r="17" spans="2:27" ht="15" customHeight="1" x14ac:dyDescent="0.45">
      <c r="B17" s="33" t="s">
        <v>46</v>
      </c>
      <c r="C17" s="35">
        <v>14500</v>
      </c>
      <c r="E17" s="22">
        <f t="shared" si="0"/>
        <v>0</v>
      </c>
      <c r="F17" s="21">
        <f t="shared" si="14"/>
        <v>0</v>
      </c>
      <c r="G17" s="22">
        <f t="shared" si="6"/>
        <v>87400000</v>
      </c>
      <c r="H17" s="26">
        <f t="shared" si="1"/>
        <v>-38</v>
      </c>
      <c r="I17" s="29">
        <f t="shared" si="7"/>
        <v>-2179</v>
      </c>
      <c r="J17" s="21">
        <f t="shared" si="2"/>
        <v>261000</v>
      </c>
      <c r="K17" s="22">
        <f t="shared" si="8"/>
        <v>18</v>
      </c>
      <c r="L17" s="22">
        <f t="shared" si="15"/>
        <v>0</v>
      </c>
      <c r="M17" s="22" t="str">
        <f t="shared" si="9"/>
        <v>کار معمولی</v>
      </c>
      <c r="N17" s="23">
        <f t="shared" si="10"/>
        <v>36855</v>
      </c>
      <c r="O17" s="24">
        <v>0</v>
      </c>
      <c r="P17" s="24">
        <f t="shared" si="3"/>
        <v>11340</v>
      </c>
      <c r="Q17" s="24">
        <f t="shared" si="16"/>
        <v>25515</v>
      </c>
      <c r="R17" s="30">
        <v>105</v>
      </c>
      <c r="S17" s="22">
        <f t="shared" si="4"/>
        <v>105</v>
      </c>
      <c r="T17" s="26">
        <f t="shared" si="5"/>
        <v>0</v>
      </c>
      <c r="U17" s="26">
        <f t="shared" si="11"/>
        <v>0</v>
      </c>
      <c r="V17" s="25">
        <f t="shared" si="17"/>
        <v>25497</v>
      </c>
      <c r="W17" s="30">
        <f t="shared" si="12"/>
        <v>13907</v>
      </c>
      <c r="X17" s="21">
        <v>13907</v>
      </c>
      <c r="Y17" s="26">
        <f t="shared" si="13"/>
        <v>0</v>
      </c>
      <c r="Z17" s="23">
        <v>27</v>
      </c>
      <c r="AA17" s="18" t="s">
        <v>5</v>
      </c>
    </row>
    <row r="18" spans="2:27" ht="15" customHeight="1" x14ac:dyDescent="0.45">
      <c r="B18" s="33" t="s">
        <v>26</v>
      </c>
      <c r="C18" s="35">
        <v>6450000</v>
      </c>
      <c r="E18" s="22">
        <f t="shared" si="0"/>
        <v>0</v>
      </c>
      <c r="F18" s="21">
        <f t="shared" si="14"/>
        <v>0</v>
      </c>
      <c r="G18" s="22">
        <f t="shared" si="6"/>
        <v>0</v>
      </c>
      <c r="H18" s="22">
        <f t="shared" si="1"/>
        <v>0</v>
      </c>
      <c r="I18" s="29">
        <f t="shared" si="7"/>
        <v>-3178</v>
      </c>
      <c r="J18" s="22">
        <f t="shared" si="2"/>
        <v>2537500</v>
      </c>
      <c r="K18" s="22">
        <f t="shared" si="8"/>
        <v>175</v>
      </c>
      <c r="L18" s="22">
        <f t="shared" si="15"/>
        <v>0</v>
      </c>
      <c r="M18" s="22" t="str">
        <f t="shared" si="9"/>
        <v>کار معمولی</v>
      </c>
      <c r="N18" s="23">
        <f t="shared" si="10"/>
        <v>28665</v>
      </c>
      <c r="O18" s="24">
        <v>0</v>
      </c>
      <c r="P18" s="24">
        <f t="shared" si="3"/>
        <v>8820</v>
      </c>
      <c r="Q18" s="24">
        <f t="shared" si="16"/>
        <v>19845</v>
      </c>
      <c r="R18" s="30">
        <v>105</v>
      </c>
      <c r="S18" s="22">
        <f t="shared" si="4"/>
        <v>105</v>
      </c>
      <c r="T18" s="26">
        <f t="shared" si="5"/>
        <v>0</v>
      </c>
      <c r="U18" s="26">
        <f t="shared" si="11"/>
        <v>0</v>
      </c>
      <c r="V18" s="25">
        <f t="shared" si="17"/>
        <v>19670</v>
      </c>
      <c r="W18" s="30">
        <f t="shared" si="12"/>
        <v>10729</v>
      </c>
      <c r="X18" s="22">
        <v>10729</v>
      </c>
      <c r="Y18" s="22">
        <f t="shared" si="13"/>
        <v>0</v>
      </c>
      <c r="Z18" s="23">
        <v>21</v>
      </c>
      <c r="AA18" s="17" t="s">
        <v>6</v>
      </c>
    </row>
    <row r="19" spans="2:27" ht="15" customHeight="1" x14ac:dyDescent="0.45">
      <c r="B19" s="33" t="s">
        <v>27</v>
      </c>
      <c r="C19" s="35">
        <v>2300000</v>
      </c>
      <c r="E19" s="22">
        <f t="shared" si="0"/>
        <v>0</v>
      </c>
      <c r="F19" s="21">
        <f t="shared" si="14"/>
        <v>0</v>
      </c>
      <c r="G19" s="22">
        <f t="shared" si="6"/>
        <v>180600000</v>
      </c>
      <c r="H19" s="26">
        <f t="shared" si="1"/>
        <v>28</v>
      </c>
      <c r="I19" s="29">
        <f t="shared" si="7"/>
        <v>5482</v>
      </c>
      <c r="J19" s="21">
        <f t="shared" si="2"/>
        <v>2958000</v>
      </c>
      <c r="K19" s="22">
        <f t="shared" si="8"/>
        <v>204</v>
      </c>
      <c r="L19" s="22">
        <f t="shared" si="15"/>
        <v>0</v>
      </c>
      <c r="M19" s="22" t="str">
        <f t="shared" si="9"/>
        <v>کار معمولی</v>
      </c>
      <c r="N19" s="23">
        <f t="shared" si="10"/>
        <v>43225</v>
      </c>
      <c r="O19" s="24">
        <v>0</v>
      </c>
      <c r="P19" s="24">
        <f t="shared" si="3"/>
        <v>13300</v>
      </c>
      <c r="Q19" s="24">
        <f t="shared" si="16"/>
        <v>29925</v>
      </c>
      <c r="R19" s="30">
        <v>133</v>
      </c>
      <c r="S19" s="22">
        <f t="shared" si="4"/>
        <v>133</v>
      </c>
      <c r="T19" s="26">
        <f t="shared" si="5"/>
        <v>0</v>
      </c>
      <c r="U19" s="26">
        <f t="shared" si="11"/>
        <v>0</v>
      </c>
      <c r="V19" s="25">
        <f t="shared" si="17"/>
        <v>29721</v>
      </c>
      <c r="W19" s="30">
        <f t="shared" si="12"/>
        <v>16211</v>
      </c>
      <c r="X19" s="21">
        <v>16211</v>
      </c>
      <c r="Y19" s="26">
        <f t="shared" si="13"/>
        <v>0</v>
      </c>
      <c r="Z19" s="23">
        <v>25</v>
      </c>
      <c r="AA19" s="18" t="s">
        <v>7</v>
      </c>
    </row>
    <row r="20" spans="2:27" ht="15" customHeight="1" x14ac:dyDescent="0.45">
      <c r="B20" s="33" t="s">
        <v>29</v>
      </c>
      <c r="C20" s="35">
        <v>90</v>
      </c>
      <c r="E20" s="22">
        <f t="shared" si="0"/>
        <v>3056000</v>
      </c>
      <c r="F20" s="21">
        <f t="shared" si="14"/>
        <v>0</v>
      </c>
      <c r="G20" s="22">
        <f t="shared" si="6"/>
        <v>4600000</v>
      </c>
      <c r="H20" s="22">
        <f t="shared" si="1"/>
        <v>-2</v>
      </c>
      <c r="I20" s="29">
        <f t="shared" si="7"/>
        <v>500</v>
      </c>
      <c r="J20" s="22">
        <f t="shared" si="2"/>
        <v>246500</v>
      </c>
      <c r="K20" s="22">
        <f t="shared" si="8"/>
        <v>17</v>
      </c>
      <c r="L20" s="22">
        <f t="shared" si="15"/>
        <v>0</v>
      </c>
      <c r="M20" s="22" t="str">
        <f t="shared" si="9"/>
        <v>کار معمولی</v>
      </c>
      <c r="N20" s="23">
        <f t="shared" si="10"/>
        <v>44278</v>
      </c>
      <c r="O20" s="24">
        <v>0</v>
      </c>
      <c r="P20" s="24">
        <f t="shared" si="3"/>
        <v>13624</v>
      </c>
      <c r="Q20" s="24">
        <f t="shared" si="16"/>
        <v>30654</v>
      </c>
      <c r="R20" s="30">
        <v>131</v>
      </c>
      <c r="S20" s="22">
        <f t="shared" si="4"/>
        <v>131</v>
      </c>
      <c r="T20" s="26">
        <f t="shared" si="5"/>
        <v>0</v>
      </c>
      <c r="U20" s="26">
        <f t="shared" si="11"/>
        <v>191</v>
      </c>
      <c r="V20" s="25">
        <f t="shared" si="17"/>
        <v>30637</v>
      </c>
      <c r="W20" s="30">
        <f t="shared" si="12"/>
        <v>16711</v>
      </c>
      <c r="X20" s="22">
        <v>16520</v>
      </c>
      <c r="Y20" s="22">
        <f t="shared" si="13"/>
        <v>0</v>
      </c>
      <c r="Z20" s="23">
        <v>26</v>
      </c>
      <c r="AA20" s="17" t="s">
        <v>8</v>
      </c>
    </row>
    <row r="21" spans="2:27" ht="18.75" x14ac:dyDescent="0.45">
      <c r="B21" s="33" t="s">
        <v>36</v>
      </c>
      <c r="C21" s="35">
        <v>170</v>
      </c>
      <c r="E21" s="22">
        <f t="shared" si="0"/>
        <v>0</v>
      </c>
      <c r="F21" s="21">
        <f t="shared" si="14"/>
        <v>0</v>
      </c>
      <c r="G21" s="22">
        <f t="shared" si="6"/>
        <v>154800000</v>
      </c>
      <c r="H21" s="26">
        <f t="shared" si="1"/>
        <v>24</v>
      </c>
      <c r="I21" s="29">
        <f t="shared" si="7"/>
        <v>2225</v>
      </c>
      <c r="J21" s="21">
        <f t="shared" si="2"/>
        <v>2305500</v>
      </c>
      <c r="K21" s="22">
        <f t="shared" si="8"/>
        <v>159</v>
      </c>
      <c r="L21" s="22">
        <f t="shared" si="15"/>
        <v>0</v>
      </c>
      <c r="M21" s="22" t="str">
        <f t="shared" si="9"/>
        <v>کار معمولی</v>
      </c>
      <c r="N21" s="23">
        <f t="shared" si="10"/>
        <v>50375</v>
      </c>
      <c r="O21" s="24">
        <v>0</v>
      </c>
      <c r="P21" s="24">
        <f t="shared" si="3"/>
        <v>15500</v>
      </c>
      <c r="Q21" s="24">
        <f>Z21*$C$22*R21</f>
        <v>34875</v>
      </c>
      <c r="R21" s="30">
        <v>155</v>
      </c>
      <c r="S21" s="22">
        <f t="shared" si="4"/>
        <v>155</v>
      </c>
      <c r="T21" s="26">
        <f t="shared" si="5"/>
        <v>0</v>
      </c>
      <c r="U21" s="26">
        <f t="shared" si="11"/>
        <v>0</v>
      </c>
      <c r="V21" s="25">
        <f>_xlfn.CEILING.MATH(W21*($C$27/60))</f>
        <v>34716</v>
      </c>
      <c r="W21" s="30">
        <f t="shared" si="12"/>
        <v>18936</v>
      </c>
      <c r="X21" s="21">
        <v>19127</v>
      </c>
      <c r="Y21" s="26">
        <f t="shared" si="13"/>
        <v>191</v>
      </c>
      <c r="Z21" s="23">
        <v>25</v>
      </c>
      <c r="AA21" s="18" t="s">
        <v>9</v>
      </c>
    </row>
    <row r="22" spans="2:27" ht="18.75" x14ac:dyDescent="0.45">
      <c r="B22" s="33" t="s">
        <v>28</v>
      </c>
      <c r="C22" s="35">
        <v>9</v>
      </c>
      <c r="E22" s="22">
        <f t="shared" si="0"/>
        <v>0</v>
      </c>
      <c r="F22" s="21">
        <f t="shared" si="14"/>
        <v>0</v>
      </c>
      <c r="G22" s="22">
        <f t="shared" si="6"/>
        <v>52900000</v>
      </c>
      <c r="H22" s="22">
        <f t="shared" si="1"/>
        <v>-23</v>
      </c>
      <c r="I22" s="29">
        <f t="shared" si="7"/>
        <v>-4112</v>
      </c>
      <c r="J22" s="22">
        <f t="shared" si="2"/>
        <v>2117000</v>
      </c>
      <c r="K22" s="22">
        <f t="shared" si="8"/>
        <v>146</v>
      </c>
      <c r="L22" s="22">
        <f t="shared" si="15"/>
        <v>0</v>
      </c>
      <c r="M22" s="22" t="str">
        <f t="shared" si="9"/>
        <v>کار معمولی</v>
      </c>
      <c r="N22" s="23">
        <f t="shared" si="10"/>
        <v>39468</v>
      </c>
      <c r="O22" s="24">
        <v>0</v>
      </c>
      <c r="P22" s="24">
        <f t="shared" si="3"/>
        <v>12144</v>
      </c>
      <c r="Q22" s="24">
        <f t="shared" si="16"/>
        <v>27324</v>
      </c>
      <c r="R22" s="30">
        <v>132</v>
      </c>
      <c r="S22" s="22">
        <f t="shared" si="4"/>
        <v>132</v>
      </c>
      <c r="T22" s="26">
        <f t="shared" si="5"/>
        <v>0</v>
      </c>
      <c r="U22" s="26">
        <f t="shared" si="11"/>
        <v>0</v>
      </c>
      <c r="V22" s="25">
        <f t="shared" si="17"/>
        <v>27178</v>
      </c>
      <c r="W22" s="30">
        <f t="shared" si="12"/>
        <v>14824</v>
      </c>
      <c r="X22" s="22">
        <v>14824</v>
      </c>
      <c r="Y22" s="22">
        <f t="shared" si="13"/>
        <v>0</v>
      </c>
      <c r="Z22" s="23">
        <v>23</v>
      </c>
      <c r="AA22" s="17" t="s">
        <v>10</v>
      </c>
    </row>
    <row r="23" spans="2:27" ht="18.75" x14ac:dyDescent="0.45">
      <c r="B23" s="33" t="s">
        <v>30</v>
      </c>
      <c r="C23" s="35">
        <v>4</v>
      </c>
      <c r="E23" s="22">
        <f t="shared" si="0"/>
        <v>38400000</v>
      </c>
      <c r="F23" s="21">
        <f t="shared" si="14"/>
        <v>257192727.27272725</v>
      </c>
      <c r="G23" s="22">
        <f t="shared" si="6"/>
        <v>245100000</v>
      </c>
      <c r="H23" s="26">
        <f t="shared" si="1"/>
        <v>38</v>
      </c>
      <c r="I23" s="29">
        <f t="shared" si="7"/>
        <v>8420</v>
      </c>
      <c r="J23" s="21">
        <f t="shared" si="2"/>
        <v>0</v>
      </c>
      <c r="K23" s="22">
        <f t="shared" si="8"/>
        <v>0</v>
      </c>
      <c r="L23" s="22">
        <f t="shared" si="15"/>
        <v>5894</v>
      </c>
      <c r="M23" s="22" t="str">
        <f t="shared" si="9"/>
        <v>کار معمولی + اضافه کاری</v>
      </c>
      <c r="N23" s="23">
        <f t="shared" si="10"/>
        <v>53040</v>
      </c>
      <c r="O23" s="24">
        <v>0</v>
      </c>
      <c r="P23" s="24">
        <f t="shared" si="3"/>
        <v>16320</v>
      </c>
      <c r="Q23" s="24">
        <f t="shared" si="16"/>
        <v>36720</v>
      </c>
      <c r="R23" s="30">
        <v>170</v>
      </c>
      <c r="S23" s="22">
        <f t="shared" si="4"/>
        <v>170</v>
      </c>
      <c r="T23" s="26">
        <f>MAX(0,X23-W23-Y23+T22)</f>
        <v>0</v>
      </c>
      <c r="U23" s="26">
        <f>Y12</f>
        <v>2400</v>
      </c>
      <c r="V23" s="25">
        <f t="shared" si="17"/>
        <v>42614</v>
      </c>
      <c r="W23" s="30">
        <f>MAX(IF(ABS(X23-Y23-W22)&lt;$C$25,IF(X23-Y23-W22&gt;0,X23-Y23+$C$25-ABS(X23-Y23-W22),-$C$25+ABS(X23-Y23-W22)),X23-Y23),$C$24)+IF(ROW()=23,U23,0)</f>
        <v>23244</v>
      </c>
      <c r="X23" s="21">
        <v>20844</v>
      </c>
      <c r="Y23" s="26">
        <f t="shared" si="13"/>
        <v>0</v>
      </c>
      <c r="Z23" s="23">
        <v>24</v>
      </c>
      <c r="AA23" s="18" t="s">
        <v>11</v>
      </c>
    </row>
    <row r="24" spans="2:27" x14ac:dyDescent="0.45">
      <c r="B24" s="36" t="s">
        <v>31</v>
      </c>
      <c r="C24" s="35">
        <v>1000</v>
      </c>
      <c r="E24" s="27">
        <f>SUM(E12:E23)</f>
        <v>41456000</v>
      </c>
      <c r="F24" s="27">
        <f t="shared" ref="F24:G24" si="18">SUM(F12:F23)</f>
        <v>257192727.27272725</v>
      </c>
      <c r="G24" s="27">
        <f t="shared" si="18"/>
        <v>1437400000</v>
      </c>
      <c r="H24" s="27"/>
      <c r="I24" s="27"/>
      <c r="J24" s="27">
        <f>SUM(J12:J23)</f>
        <v>15834000</v>
      </c>
      <c r="K24" s="27">
        <f>SUM(J12:J23)</f>
        <v>15834000</v>
      </c>
      <c r="L24" s="27">
        <f>SUM(K12:K23)</f>
        <v>1092</v>
      </c>
      <c r="M24" s="27">
        <f>SUM(L12:L23)</f>
        <v>5894</v>
      </c>
      <c r="N24" s="22"/>
      <c r="O24" s="28"/>
      <c r="P24" s="28"/>
      <c r="Q24" s="28"/>
      <c r="R24" s="28"/>
      <c r="S24" s="27"/>
      <c r="T24" s="27"/>
      <c r="U24" s="27"/>
      <c r="V24" s="27"/>
      <c r="W24" s="27">
        <f>SUM(W12:W23)</f>
        <v>185652</v>
      </c>
      <c r="X24" s="27">
        <f>SUM(X12:X23)</f>
        <v>185652</v>
      </c>
      <c r="Y24" s="27"/>
      <c r="Z24" s="27">
        <f>SUM(Z12:Z23)</f>
        <v>288</v>
      </c>
      <c r="AA24" s="27" t="s">
        <v>47</v>
      </c>
    </row>
    <row r="25" spans="2:27" ht="15" customHeight="1" x14ac:dyDescent="0.45">
      <c r="B25" s="36" t="s">
        <v>68</v>
      </c>
      <c r="C25" s="35">
        <v>500</v>
      </c>
      <c r="E25" s="61">
        <f>E24+F24+G24+J24</f>
        <v>1751882727.2727273</v>
      </c>
      <c r="F25" s="61"/>
      <c r="G25" s="61"/>
      <c r="H25" s="61"/>
      <c r="I25" s="61"/>
      <c r="J25" s="63" t="s">
        <v>76</v>
      </c>
      <c r="K25" s="6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>
        <f>AVERAGE(X12:X23)</f>
        <v>15471</v>
      </c>
      <c r="Z25" s="15"/>
      <c r="AA25" s="15"/>
    </row>
    <row r="26" spans="2:27" ht="15" customHeight="1" thickBot="1" x14ac:dyDescent="0.5">
      <c r="B26" s="33" t="s">
        <v>38</v>
      </c>
      <c r="C26" s="35">
        <v>0</v>
      </c>
      <c r="E26" s="62"/>
      <c r="F26" s="62"/>
      <c r="G26" s="62"/>
      <c r="H26" s="62"/>
      <c r="I26" s="62"/>
      <c r="J26" s="64"/>
      <c r="K26" s="64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32.25" thickBot="1" x14ac:dyDescent="0.8">
      <c r="B27" s="33" t="s">
        <v>34</v>
      </c>
      <c r="C27" s="35">
        <v>110</v>
      </c>
      <c r="E27" s="41">
        <f>E24/$E$25</f>
        <v>2.3663684420553263E-2</v>
      </c>
      <c r="F27" s="42">
        <f t="shared" ref="F27:G27" si="19">F24/$E$25</f>
        <v>0.1468093287688933</v>
      </c>
      <c r="G27" s="42">
        <f t="shared" si="19"/>
        <v>0.82048871058720718</v>
      </c>
      <c r="H27" s="39"/>
      <c r="I27" s="39"/>
      <c r="J27" s="40">
        <f t="shared" ref="J27" si="20">J24/$E$25</f>
        <v>9.0382762233462074E-3</v>
      </c>
    </row>
    <row r="28" spans="2:27" x14ac:dyDescent="0.45">
      <c r="B28" s="33" t="s">
        <v>35</v>
      </c>
      <c r="C28" s="35">
        <v>133</v>
      </c>
      <c r="E28" s="61">
        <f>W24*C11</f>
        <v>161517240000</v>
      </c>
      <c r="F28" s="61"/>
      <c r="G28" s="61"/>
      <c r="H28" s="61"/>
      <c r="I28" s="61"/>
      <c r="J28" s="63" t="s">
        <v>75</v>
      </c>
      <c r="K28" s="63"/>
      <c r="P28" s="19"/>
    </row>
    <row r="29" spans="2:27" ht="18.75" thickBot="1" x14ac:dyDescent="0.5">
      <c r="B29" s="37" t="s">
        <v>58</v>
      </c>
      <c r="C29" s="38">
        <v>2400</v>
      </c>
      <c r="E29" s="62"/>
      <c r="F29" s="62"/>
      <c r="G29" s="62"/>
      <c r="H29" s="62"/>
      <c r="I29" s="62"/>
      <c r="J29" s="64"/>
      <c r="K29" s="64"/>
    </row>
    <row r="30" spans="2:27" x14ac:dyDescent="0.45">
      <c r="C30" s="15"/>
      <c r="E30" s="61">
        <f>E28+E25</f>
        <v>163269122727.27274</v>
      </c>
      <c r="F30" s="61"/>
      <c r="G30" s="61"/>
      <c r="H30" s="61"/>
      <c r="I30" s="61"/>
      <c r="J30" s="63" t="s">
        <v>47</v>
      </c>
      <c r="K30" s="63"/>
    </row>
    <row r="31" spans="2:27" x14ac:dyDescent="0.45">
      <c r="E31" s="62"/>
      <c r="F31" s="62"/>
      <c r="G31" s="62"/>
      <c r="H31" s="62"/>
      <c r="I31" s="62"/>
      <c r="J31" s="64"/>
      <c r="K31" s="64"/>
    </row>
    <row r="34" spans="12:16" x14ac:dyDescent="0.45">
      <c r="N34" s="48"/>
      <c r="O34" s="48"/>
    </row>
    <row r="35" spans="12:16" x14ac:dyDescent="0.45">
      <c r="N35" s="48"/>
      <c r="O35" s="48"/>
    </row>
    <row r="36" spans="12:16" x14ac:dyDescent="0.45">
      <c r="N36" s="49">
        <f>SUM(W12:W23)/12</f>
        <v>15471</v>
      </c>
      <c r="O36" s="48"/>
    </row>
    <row r="37" spans="12:16" x14ac:dyDescent="0.45">
      <c r="N37" s="48"/>
      <c r="O37" s="48"/>
    </row>
    <row r="38" spans="12:16" x14ac:dyDescent="0.45">
      <c r="N38" s="48"/>
      <c r="O38" s="48"/>
    </row>
    <row r="39" spans="12:16" x14ac:dyDescent="0.45">
      <c r="N39" s="48"/>
      <c r="O39" s="48"/>
    </row>
    <row r="40" spans="12:16" x14ac:dyDescent="0.45">
      <c r="N40" s="48"/>
      <c r="O40" s="48"/>
    </row>
    <row r="44" spans="12:16" x14ac:dyDescent="0.45">
      <c r="L44" s="43"/>
      <c r="M44" s="43"/>
      <c r="N44" s="47"/>
      <c r="O44" s="43"/>
      <c r="P44" s="43"/>
    </row>
    <row r="45" spans="12:16" x14ac:dyDescent="0.45">
      <c r="L45" s="43"/>
      <c r="M45" s="43"/>
      <c r="N45" s="43"/>
      <c r="O45" s="43"/>
      <c r="P45" s="43"/>
    </row>
    <row r="46" spans="12:16" x14ac:dyDescent="0.45">
      <c r="L46" s="43"/>
      <c r="M46" s="43"/>
      <c r="N46" s="43"/>
      <c r="O46" s="43"/>
      <c r="P46" s="43"/>
    </row>
    <row r="47" spans="12:16" x14ac:dyDescent="0.45">
      <c r="L47" s="43"/>
      <c r="M47" s="43"/>
      <c r="N47" s="43"/>
      <c r="O47" s="43"/>
      <c r="P47" s="43"/>
    </row>
    <row r="48" spans="12:16" x14ac:dyDescent="0.45">
      <c r="L48" s="43"/>
      <c r="M48" s="43"/>
      <c r="N48" s="43"/>
      <c r="O48" s="43"/>
      <c r="P48" s="43"/>
    </row>
    <row r="49" spans="12:16" x14ac:dyDescent="0.45">
      <c r="L49" s="43"/>
      <c r="M49" s="43"/>
      <c r="N49" s="43"/>
      <c r="O49" s="43"/>
      <c r="P49" s="43"/>
    </row>
    <row r="50" spans="12:16" x14ac:dyDescent="0.45">
      <c r="L50" s="43"/>
      <c r="M50" s="43"/>
      <c r="N50" s="43"/>
      <c r="O50" s="43"/>
      <c r="P50" s="43"/>
    </row>
    <row r="51" spans="12:16" x14ac:dyDescent="0.45">
      <c r="L51" s="43"/>
      <c r="M51" s="43"/>
      <c r="N51" s="43"/>
      <c r="O51" s="43"/>
      <c r="P51" s="43"/>
    </row>
    <row r="52" spans="12:16" x14ac:dyDescent="0.45">
      <c r="L52" s="43"/>
      <c r="M52" s="43"/>
      <c r="N52" s="43"/>
      <c r="O52" s="43"/>
      <c r="P52" s="43"/>
    </row>
    <row r="53" spans="12:16" x14ac:dyDescent="0.45">
      <c r="L53" s="43"/>
      <c r="M53" s="43"/>
      <c r="N53" s="43"/>
      <c r="O53" s="43"/>
      <c r="P53" s="43"/>
    </row>
    <row r="54" spans="12:16" x14ac:dyDescent="0.45">
      <c r="L54" s="43"/>
      <c r="M54" s="43"/>
      <c r="N54" s="43"/>
      <c r="O54" s="43"/>
      <c r="P54" s="43"/>
    </row>
    <row r="55" spans="12:16" x14ac:dyDescent="0.45">
      <c r="L55" s="43"/>
      <c r="M55" s="43"/>
      <c r="N55" s="43"/>
      <c r="O55" s="43"/>
      <c r="P55" s="43"/>
    </row>
    <row r="56" spans="12:16" x14ac:dyDescent="0.45">
      <c r="M56" s="43"/>
      <c r="N56" s="43"/>
      <c r="O56" s="43"/>
      <c r="P56" s="43"/>
    </row>
  </sheetData>
  <sheetProtection algorithmName="SHA-512" hashValue="iX2zpPanv4Jt1Q3QwWs9bnT75AELcWAUysNMQ4u2H9fenLl7soXMMZsdM57Wh2AjItYhYkzvFC1LY4D/L3YoTg==" saltValue="BQs07rKs6PPpy34B6XxU6Q==" spinCount="100000" sheet="1" objects="1" scenarios="1"/>
  <mergeCells count="26">
    <mergeCell ref="E25:I26"/>
    <mergeCell ref="F8:F10"/>
    <mergeCell ref="G8:G10"/>
    <mergeCell ref="E8:E10"/>
    <mergeCell ref="H8:H10"/>
    <mergeCell ref="O8:O10"/>
    <mergeCell ref="N8:N10"/>
    <mergeCell ref="M8:M10"/>
    <mergeCell ref="G7:H7"/>
    <mergeCell ref="I8:I10"/>
    <mergeCell ref="E28:I29"/>
    <mergeCell ref="J28:K29"/>
    <mergeCell ref="E30:I31"/>
    <mergeCell ref="J30:K31"/>
    <mergeCell ref="Z8:Z10"/>
    <mergeCell ref="Y8:Y10"/>
    <mergeCell ref="S8:S10"/>
    <mergeCell ref="T8:T10"/>
    <mergeCell ref="J25:K26"/>
    <mergeCell ref="J8:J10"/>
    <mergeCell ref="K8:K10"/>
    <mergeCell ref="L8:L10"/>
    <mergeCell ref="R8:R10"/>
    <mergeCell ref="Q8:Q10"/>
    <mergeCell ref="V8:V10"/>
    <mergeCell ref="P8:P10"/>
  </mergeCells>
  <conditionalFormatting sqref="Q12:Q23">
    <cfRule type="expression" dxfId="132" priority="22">
      <formula>IF(Q12&lt;V12,1,0)</formula>
    </cfRule>
  </conditionalFormatting>
  <conditionalFormatting sqref="N12:N23">
    <cfRule type="expression" dxfId="131" priority="21">
      <formula>IF(N12&gt;V12,1,0)</formula>
    </cfRule>
  </conditionalFormatting>
  <conditionalFormatting sqref="H12:H23">
    <cfRule type="cellIs" dxfId="130" priority="17" operator="lessThan">
      <formula>0</formula>
    </cfRule>
    <cfRule type="cellIs" dxfId="129" priority="20" operator="greaterThan">
      <formula>0</formula>
    </cfRule>
  </conditionalFormatting>
  <conditionalFormatting sqref="G12:G23">
    <cfRule type="expression" dxfId="128" priority="19">
      <formula>IF(H12&lt;0,1,0)</formula>
    </cfRule>
  </conditionalFormatting>
  <conditionalFormatting sqref="H24 G12:G23">
    <cfRule type="expression" dxfId="127" priority="16">
      <formula>IF(H12&gt;0,1,0)</formula>
    </cfRule>
  </conditionalFormatting>
  <conditionalFormatting sqref="H12:H23">
    <cfRule type="expression" dxfId="126" priority="27">
      <formula>IF(J12&lt;0,1,0)</formula>
    </cfRule>
  </conditionalFormatting>
  <conditionalFormatting sqref="I12:I23">
    <cfRule type="cellIs" dxfId="125" priority="1" operator="equal">
      <formula>0</formula>
    </cfRule>
    <cfRule type="cellIs" dxfId="124" priority="12" operator="between">
      <formula>$C$25-1</formula>
      <formula>-$C$25+1</formula>
    </cfRule>
  </conditionalFormatting>
  <conditionalFormatting sqref="T12:T23">
    <cfRule type="cellIs" dxfId="123" priority="11" operator="greaterThan">
      <formula>$C$15</formula>
    </cfRule>
  </conditionalFormatting>
  <conditionalFormatting sqref="U11:U23">
    <cfRule type="cellIs" dxfId="122" priority="10" operator="greaterThan">
      <formula>$C$16</formula>
    </cfRule>
  </conditionalFormatting>
  <conditionalFormatting sqref="Y12:Y23">
    <cfRule type="cellIs" dxfId="121" priority="9" operator="lessThan">
      <formula>$C$26</formula>
    </cfRule>
  </conditionalFormatting>
  <conditionalFormatting sqref="Z12:Z23">
    <cfRule type="cellIs" dxfId="120" priority="8" operator="between">
      <formula>15</formula>
      <formula>28</formula>
    </cfRule>
  </conditionalFormatting>
  <conditionalFormatting sqref="W24:X24">
    <cfRule type="cellIs" dxfId="119" priority="7" operator="notEqual">
      <formula>$X$24</formula>
    </cfRule>
  </conditionalFormatting>
  <conditionalFormatting sqref="V12:V23">
    <cfRule type="expression" dxfId="118" priority="6">
      <formula>IF(N12&lt;V12,1,0)</formula>
    </cfRule>
  </conditionalFormatting>
  <conditionalFormatting sqref="E12:E23">
    <cfRule type="expression" dxfId="117" priority="4">
      <formula>IF(U12&gt;0,1,0)</formula>
    </cfRule>
    <cfRule type="expression" dxfId="116" priority="5">
      <formula>IF(T12&gt;0,1,0)</formula>
    </cfRule>
  </conditionalFormatting>
  <conditionalFormatting sqref="F12:F23">
    <cfRule type="cellIs" dxfId="115" priority="3" operator="greaterThan">
      <formula>0</formula>
    </cfRule>
  </conditionalFormatting>
  <conditionalFormatting sqref="J12:J23">
    <cfRule type="cellIs" dxfId="114" priority="2" operator="greaterThan">
      <formula>0</formula>
    </cfRule>
  </conditionalFormatting>
  <dataValidations count="1">
    <dataValidation type="whole" allowBlank="1" showInputMessage="1" showErrorMessage="1" sqref="R12:R23" xr:uid="{00000000-0002-0000-0100-000000000000}">
      <formula1>$C$20</formula1>
      <formula2>$C$21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E45"/>
  <sheetViews>
    <sheetView showGridLines="0" topLeftCell="L13" zoomScale="70" zoomScaleNormal="70" workbookViewId="0">
      <selection activeCell="G38" sqref="G38"/>
    </sheetView>
  </sheetViews>
  <sheetFormatPr defaultColWidth="9" defaultRowHeight="18" x14ac:dyDescent="0.45"/>
  <cols>
    <col min="1" max="1" width="9" style="14"/>
    <col min="2" max="2" width="29.125" style="14" bestFit="1" customWidth="1"/>
    <col min="3" max="3" width="17.625" style="14" bestFit="1" customWidth="1"/>
    <col min="4" max="4" width="9" style="14"/>
    <col min="5" max="5" width="17.625" style="14" bestFit="1" customWidth="1"/>
    <col min="6" max="6" width="17.125" style="14" bestFit="1" customWidth="1"/>
    <col min="7" max="7" width="13.375" style="14" bestFit="1" customWidth="1"/>
    <col min="8" max="8" width="14.125" style="14" bestFit="1" customWidth="1"/>
    <col min="9" max="9" width="9.125" style="14" bestFit="1" customWidth="1"/>
    <col min="10" max="10" width="17.125" style="14" bestFit="1" customWidth="1"/>
    <col min="11" max="11" width="21.625" style="14" bestFit="1" customWidth="1"/>
    <col min="12" max="12" width="17.625" style="14" bestFit="1" customWidth="1"/>
    <col min="13" max="13" width="17.125" style="14" bestFit="1" customWidth="1"/>
    <col min="14" max="14" width="19.125" style="14" bestFit="1" customWidth="1"/>
    <col min="15" max="15" width="25.125" style="14" bestFit="1" customWidth="1"/>
    <col min="16" max="16" width="27.125" style="14" bestFit="1" customWidth="1"/>
    <col min="17" max="17" width="30.125" style="14" bestFit="1" customWidth="1"/>
    <col min="18" max="18" width="17.625" style="14" bestFit="1" customWidth="1"/>
    <col min="19" max="19" width="14.625" style="14" bestFit="1" customWidth="1"/>
    <col min="20" max="20" width="6.125" style="14" bestFit="1" customWidth="1"/>
    <col min="21" max="21" width="11.625" style="14" bestFit="1" customWidth="1"/>
    <col min="22" max="22" width="15.625" style="14" bestFit="1" customWidth="1"/>
    <col min="23" max="24" width="9.625" style="14" bestFit="1" customWidth="1"/>
    <col min="25" max="25" width="11.625" style="14" bestFit="1" customWidth="1"/>
    <col min="26" max="26" width="13.125" style="14" bestFit="1" customWidth="1"/>
    <col min="27" max="27" width="13.625" style="14" bestFit="1" customWidth="1"/>
    <col min="28" max="16384" width="9" style="14"/>
  </cols>
  <sheetData>
    <row r="1" spans="1:31" customFormat="1" ht="39.75" customHeight="1" x14ac:dyDescent="0.2">
      <c r="A1" s="51" t="str">
        <f>"                     ‌Production Planning  (Saya Oven Toaster (پارس خزر))       -     "</f>
        <v xml:space="preserve">                     ‌Production Planning  (Saya Oven Toaster (پارس خزر))       -     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7" spans="1:31" x14ac:dyDescent="0.45">
      <c r="G7" s="70" t="s">
        <v>66</v>
      </c>
      <c r="H7" s="70"/>
    </row>
    <row r="8" spans="1:31" ht="36.75" thickBot="1" x14ac:dyDescent="0.5">
      <c r="E8" s="65" t="s">
        <v>71</v>
      </c>
      <c r="F8" s="65" t="s">
        <v>72</v>
      </c>
      <c r="G8" s="65" t="s">
        <v>67</v>
      </c>
      <c r="H8" s="65" t="s">
        <v>16</v>
      </c>
      <c r="I8" s="65" t="s">
        <v>69</v>
      </c>
      <c r="J8" s="65" t="s">
        <v>45</v>
      </c>
      <c r="K8" s="65" t="s">
        <v>44</v>
      </c>
      <c r="L8" s="65" t="s">
        <v>42</v>
      </c>
      <c r="M8" s="65" t="s">
        <v>65</v>
      </c>
      <c r="N8" s="69" t="s">
        <v>64</v>
      </c>
      <c r="O8" s="69" t="s">
        <v>63</v>
      </c>
      <c r="P8" s="69" t="s">
        <v>62</v>
      </c>
      <c r="Q8" s="69" t="s">
        <v>61</v>
      </c>
      <c r="R8" s="68" t="s">
        <v>54</v>
      </c>
      <c r="S8" s="65" t="s">
        <v>15</v>
      </c>
      <c r="T8" s="65" t="s">
        <v>41</v>
      </c>
      <c r="U8" s="44" t="s">
        <v>14</v>
      </c>
      <c r="V8" s="65" t="s">
        <v>60</v>
      </c>
      <c r="W8" s="44" t="s">
        <v>13</v>
      </c>
      <c r="X8" s="44" t="s">
        <v>40</v>
      </c>
      <c r="Y8" s="65" t="s">
        <v>12</v>
      </c>
      <c r="Z8" s="65" t="s">
        <v>39</v>
      </c>
      <c r="AA8" s="44" t="s">
        <v>48</v>
      </c>
    </row>
    <row r="9" spans="1:31" x14ac:dyDescent="0.45">
      <c r="B9" s="31" t="s">
        <v>57</v>
      </c>
      <c r="C9" s="32" t="s">
        <v>37</v>
      </c>
      <c r="E9" s="66"/>
      <c r="F9" s="66"/>
      <c r="G9" s="66"/>
      <c r="H9" s="66"/>
      <c r="I9" s="66"/>
      <c r="J9" s="66"/>
      <c r="K9" s="66"/>
      <c r="L9" s="66"/>
      <c r="M9" s="66"/>
      <c r="N9" s="69"/>
      <c r="O9" s="69"/>
      <c r="P9" s="69"/>
      <c r="Q9" s="69"/>
      <c r="R9" s="68"/>
      <c r="S9" s="66"/>
      <c r="T9" s="66"/>
      <c r="U9" s="45"/>
      <c r="V9" s="66"/>
      <c r="W9" s="45"/>
      <c r="X9" s="45"/>
      <c r="Y9" s="66"/>
      <c r="Z9" s="66"/>
      <c r="AA9" s="45"/>
    </row>
    <row r="10" spans="1:31" x14ac:dyDescent="0.45">
      <c r="B10" s="33" t="s">
        <v>56</v>
      </c>
      <c r="C10" s="34">
        <f>C12-C11</f>
        <v>80000</v>
      </c>
      <c r="E10" s="67"/>
      <c r="F10" s="67"/>
      <c r="G10" s="67"/>
      <c r="H10" s="67"/>
      <c r="I10" s="67"/>
      <c r="J10" s="67"/>
      <c r="K10" s="67"/>
      <c r="L10" s="67"/>
      <c r="M10" s="67"/>
      <c r="N10" s="69"/>
      <c r="O10" s="69"/>
      <c r="P10" s="69"/>
      <c r="Q10" s="69"/>
      <c r="R10" s="68"/>
      <c r="S10" s="67"/>
      <c r="T10" s="67"/>
      <c r="U10" s="46"/>
      <c r="V10" s="67"/>
      <c r="W10" s="46"/>
      <c r="X10" s="46"/>
      <c r="Y10" s="67"/>
      <c r="Z10" s="67"/>
      <c r="AA10" s="46"/>
    </row>
    <row r="11" spans="1:31" x14ac:dyDescent="0.45">
      <c r="B11" s="33" t="s">
        <v>22</v>
      </c>
      <c r="C11" s="35">
        <v>870000</v>
      </c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1"/>
      <c r="P11" s="21"/>
      <c r="Q11" s="21"/>
      <c r="R11" s="21">
        <f>ROUNDUP(AVERAGE(S12:S23),0)</f>
        <v>133</v>
      </c>
      <c r="S11" s="21"/>
      <c r="T11" s="20"/>
      <c r="U11" s="20"/>
      <c r="V11" s="20"/>
      <c r="W11" s="20">
        <f>X24/12</f>
        <v>15471</v>
      </c>
      <c r="X11" s="20"/>
      <c r="Y11" s="20"/>
      <c r="Z11" s="20"/>
      <c r="AA11" s="16"/>
    </row>
    <row r="12" spans="1:31" ht="18.75" x14ac:dyDescent="0.45">
      <c r="B12" s="33" t="s">
        <v>23</v>
      </c>
      <c r="C12" s="35">
        <v>950000</v>
      </c>
      <c r="E12" s="22">
        <f t="shared" ref="E12:E23" si="0">MAX(T12*$C$14,U12*$C$13)</f>
        <v>42128000</v>
      </c>
      <c r="F12" s="21">
        <f>L12*(60/$C$27)*$C$10</f>
        <v>0</v>
      </c>
      <c r="G12" s="22">
        <f>IF(H12&gt;=0,H12*$C$18,ABS(H12*$C$19))</f>
        <v>116100000</v>
      </c>
      <c r="H12" s="22">
        <f t="shared" ref="H12:H23" si="1">R12-R11</f>
        <v>18</v>
      </c>
      <c r="I12" s="29">
        <f>W12-W11</f>
        <v>0</v>
      </c>
      <c r="J12" s="22">
        <f t="shared" ref="J12:J23" si="2">K12*$C$17</f>
        <v>2537500</v>
      </c>
      <c r="K12" s="22">
        <f>MAX(0,Q12-V12)</f>
        <v>175</v>
      </c>
      <c r="L12" s="22">
        <f>MIN(MAX(0,V12-Q12),P12)</f>
        <v>0</v>
      </c>
      <c r="M12" s="22" t="str">
        <f>IF(V12&lt;Q12,"کار معمولی",IF(V12&lt;Q12+P12,"کار معمولی + اضافه کاری","کار معمولی، اضافه‌کاری و پیمانکاری"))</f>
        <v>کار معمولی</v>
      </c>
      <c r="N12" s="23">
        <f>O12+P12+Q12</f>
        <v>41223</v>
      </c>
      <c r="O12" s="24">
        <v>0</v>
      </c>
      <c r="P12" s="24">
        <f t="shared" ref="P12:P23" si="3">Z12*$C$23*R12</f>
        <v>12684</v>
      </c>
      <c r="Q12" s="24">
        <f>Z12*$C$22*R12</f>
        <v>28539</v>
      </c>
      <c r="R12" s="30">
        <v>151</v>
      </c>
      <c r="S12" s="22">
        <f>MIN(_xlfn.CEILING.MATH(V12/(Z12*$C$22)),$C$21)</f>
        <v>151</v>
      </c>
      <c r="T12" s="26">
        <f t="shared" ref="T12:T22" si="4">MAX(0,X12-W12-Y12+T11)</f>
        <v>0</v>
      </c>
      <c r="U12" s="26">
        <f>MAX(0,W12-X12+Y12-T11)</f>
        <v>2633</v>
      </c>
      <c r="V12" s="25">
        <f>_xlfn.CEILING.MATH(W12*($C$27/60))</f>
        <v>28364</v>
      </c>
      <c r="W12" s="30">
        <v>15471</v>
      </c>
      <c r="X12" s="22">
        <v>15238</v>
      </c>
      <c r="Y12" s="22">
        <f>C29</f>
        <v>2400</v>
      </c>
      <c r="Z12" s="23">
        <v>21</v>
      </c>
      <c r="AA12" s="17" t="s">
        <v>0</v>
      </c>
    </row>
    <row r="13" spans="1:31" ht="18.75" x14ac:dyDescent="0.45">
      <c r="B13" s="33" t="s">
        <v>59</v>
      </c>
      <c r="C13" s="35">
        <v>16000</v>
      </c>
      <c r="E13" s="22">
        <f t="shared" si="0"/>
        <v>13005000</v>
      </c>
      <c r="F13" s="21">
        <f>L13*(60/$C$27)*$C$10</f>
        <v>0</v>
      </c>
      <c r="G13" s="22">
        <f t="shared" ref="G13:G23" si="5">IF(H13&gt;=0,H13*$C$18,ABS(H13*$C$19))</f>
        <v>29900000</v>
      </c>
      <c r="H13" s="26">
        <f t="shared" si="1"/>
        <v>-13</v>
      </c>
      <c r="I13" s="29">
        <f t="shared" ref="I13:I23" si="6">W13-W12</f>
        <v>0</v>
      </c>
      <c r="J13" s="21">
        <f t="shared" si="2"/>
        <v>2929000</v>
      </c>
      <c r="K13" s="22">
        <f t="shared" ref="K13:K23" si="7">MAX(0,Q13-V13)</f>
        <v>202</v>
      </c>
      <c r="L13" s="22">
        <f>MIN(MAX(0,V13-Q13),P13)</f>
        <v>0</v>
      </c>
      <c r="M13" s="22" t="str">
        <f t="shared" ref="M13:M23" si="8">IF(V13&lt;Q13,"کار معمولی",IF(V13&lt;Q13+P13,"کار معمولی + اضافه کاری","کار معمولی، اضافه‌کاری و پیمانکاری"))</f>
        <v>کار معمولی</v>
      </c>
      <c r="N13" s="23">
        <f t="shared" ref="N13:N23" si="9">O13+P13+Q13</f>
        <v>41262</v>
      </c>
      <c r="O13" s="24">
        <v>0</v>
      </c>
      <c r="P13" s="24">
        <f t="shared" si="3"/>
        <v>12696</v>
      </c>
      <c r="Q13" s="24">
        <f>Z13*$C$22*R13</f>
        <v>28566</v>
      </c>
      <c r="R13" s="30">
        <v>138</v>
      </c>
      <c r="S13" s="22">
        <f t="shared" ref="S13:S23" si="10">MIN(_xlfn.CEILING.MATH(V13/(Z13*$C$22)),$C$21)</f>
        <v>138</v>
      </c>
      <c r="T13" s="26">
        <f t="shared" si="4"/>
        <v>51</v>
      </c>
      <c r="U13" s="26">
        <f t="shared" ref="U13:U22" si="11">MAX(0,W13-X13+Y13-T12)</f>
        <v>0</v>
      </c>
      <c r="V13" s="25">
        <f>_xlfn.CEILING.MATH(W13*($C$27/60))</f>
        <v>28364</v>
      </c>
      <c r="W13" s="30">
        <v>15471</v>
      </c>
      <c r="X13" s="21">
        <v>18155</v>
      </c>
      <c r="Y13" s="26">
        <f t="shared" ref="Y13:Y23" si="12">U12</f>
        <v>2633</v>
      </c>
      <c r="Z13" s="23">
        <v>23</v>
      </c>
      <c r="AA13" s="18" t="s">
        <v>1</v>
      </c>
    </row>
    <row r="14" spans="1:31" ht="18.75" x14ac:dyDescent="0.45">
      <c r="B14" s="33" t="s">
        <v>25</v>
      </c>
      <c r="C14" s="35">
        <v>255000</v>
      </c>
      <c r="E14" s="22">
        <f t="shared" si="0"/>
        <v>67792000</v>
      </c>
      <c r="F14" s="21">
        <f t="shared" ref="F14:F23" si="13">L14*(60/$C$27)*$C$10</f>
        <v>0</v>
      </c>
      <c r="G14" s="22">
        <f>IF(H14&gt;=0,H14*$C$18,ABS(H14*$C$19))</f>
        <v>13800000</v>
      </c>
      <c r="H14" s="22">
        <f t="shared" si="1"/>
        <v>-6</v>
      </c>
      <c r="I14" s="29">
        <f>W14-W13</f>
        <v>0</v>
      </c>
      <c r="J14" s="22">
        <f>K14*$C$17</f>
        <v>2146000</v>
      </c>
      <c r="K14" s="22">
        <f t="shared" si="7"/>
        <v>148</v>
      </c>
      <c r="L14" s="22">
        <f t="shared" ref="L14:L23" si="14">MIN(MAX(0,V14-Q14),P14)</f>
        <v>0</v>
      </c>
      <c r="M14" s="22" t="str">
        <f t="shared" si="8"/>
        <v>کار معمولی</v>
      </c>
      <c r="N14" s="23">
        <f t="shared" si="9"/>
        <v>41184</v>
      </c>
      <c r="O14" s="24">
        <v>0</v>
      </c>
      <c r="P14" s="24">
        <f t="shared" si="3"/>
        <v>12672</v>
      </c>
      <c r="Q14" s="24">
        <f t="shared" ref="Q14:Q23" si="15">Z14*$C$22*R14</f>
        <v>28512</v>
      </c>
      <c r="R14" s="30">
        <v>132</v>
      </c>
      <c r="S14" s="22">
        <f t="shared" si="10"/>
        <v>132</v>
      </c>
      <c r="T14" s="26">
        <f t="shared" si="4"/>
        <v>0</v>
      </c>
      <c r="U14" s="26">
        <f t="shared" si="11"/>
        <v>4237</v>
      </c>
      <c r="V14" s="25">
        <f t="shared" ref="V14:V23" si="16">_xlfn.CEILING.MATH(W14*($C$27/60))</f>
        <v>28364</v>
      </c>
      <c r="W14" s="30">
        <v>15471</v>
      </c>
      <c r="X14" s="22">
        <v>11183</v>
      </c>
      <c r="Y14" s="22">
        <f t="shared" si="12"/>
        <v>0</v>
      </c>
      <c r="Z14" s="23">
        <v>24</v>
      </c>
      <c r="AA14" s="17" t="s">
        <v>2</v>
      </c>
    </row>
    <row r="15" spans="1:31" ht="18.75" x14ac:dyDescent="0.45">
      <c r="B15" s="36" t="s">
        <v>32</v>
      </c>
      <c r="C15" s="35">
        <v>1000</v>
      </c>
      <c r="E15" s="22">
        <f t="shared" si="0"/>
        <v>110080000</v>
      </c>
      <c r="F15" s="21">
        <f t="shared" si="13"/>
        <v>0</v>
      </c>
      <c r="G15" s="22">
        <f t="shared" si="5"/>
        <v>23000000</v>
      </c>
      <c r="H15" s="26">
        <f t="shared" si="1"/>
        <v>-10</v>
      </c>
      <c r="I15" s="29">
        <f t="shared" si="6"/>
        <v>0</v>
      </c>
      <c r="J15" s="21">
        <f t="shared" si="2"/>
        <v>2668000</v>
      </c>
      <c r="K15" s="22">
        <f t="shared" si="7"/>
        <v>184</v>
      </c>
      <c r="L15" s="22">
        <f t="shared" si="14"/>
        <v>0</v>
      </c>
      <c r="M15" s="22" t="str">
        <f t="shared" si="8"/>
        <v>کار معمولی</v>
      </c>
      <c r="N15" s="23">
        <f t="shared" si="9"/>
        <v>41236</v>
      </c>
      <c r="O15" s="24">
        <v>0</v>
      </c>
      <c r="P15" s="24">
        <f t="shared" si="3"/>
        <v>12688</v>
      </c>
      <c r="Q15" s="24">
        <f t="shared" si="15"/>
        <v>28548</v>
      </c>
      <c r="R15" s="30">
        <v>122</v>
      </c>
      <c r="S15" s="22">
        <f t="shared" si="10"/>
        <v>122</v>
      </c>
      <c r="T15" s="26">
        <f t="shared" si="4"/>
        <v>0</v>
      </c>
      <c r="U15" s="26">
        <f t="shared" si="11"/>
        <v>6880</v>
      </c>
      <c r="V15" s="25">
        <f t="shared" si="16"/>
        <v>28364</v>
      </c>
      <c r="W15" s="30">
        <v>15471</v>
      </c>
      <c r="X15" s="21">
        <v>12828</v>
      </c>
      <c r="Y15" s="26">
        <f t="shared" si="12"/>
        <v>4237</v>
      </c>
      <c r="Z15" s="23">
        <v>26</v>
      </c>
      <c r="AA15" s="18" t="s">
        <v>3</v>
      </c>
    </row>
    <row r="16" spans="1:31" ht="18.75" x14ac:dyDescent="0.45">
      <c r="B16" s="33" t="s">
        <v>70</v>
      </c>
      <c r="C16" s="35">
        <v>50000</v>
      </c>
      <c r="E16" s="22">
        <f t="shared" si="0"/>
        <v>100240000</v>
      </c>
      <c r="F16" s="21">
        <f t="shared" si="13"/>
        <v>0</v>
      </c>
      <c r="G16" s="22">
        <f t="shared" si="5"/>
        <v>103200000</v>
      </c>
      <c r="H16" s="22">
        <f t="shared" si="1"/>
        <v>16</v>
      </c>
      <c r="I16" s="29">
        <f t="shared" si="6"/>
        <v>0</v>
      </c>
      <c r="J16" s="22">
        <f t="shared" si="2"/>
        <v>2929000</v>
      </c>
      <c r="K16" s="22">
        <f t="shared" si="7"/>
        <v>202</v>
      </c>
      <c r="L16" s="22">
        <f t="shared" si="14"/>
        <v>0</v>
      </c>
      <c r="M16" s="22" t="str">
        <f t="shared" si="8"/>
        <v>کار معمولی</v>
      </c>
      <c r="N16" s="23">
        <f t="shared" si="9"/>
        <v>41262</v>
      </c>
      <c r="O16" s="24">
        <v>0</v>
      </c>
      <c r="P16" s="24">
        <f t="shared" si="3"/>
        <v>12696</v>
      </c>
      <c r="Q16" s="24">
        <f t="shared" si="15"/>
        <v>28566</v>
      </c>
      <c r="R16" s="30">
        <v>138</v>
      </c>
      <c r="S16" s="22">
        <f t="shared" si="10"/>
        <v>138</v>
      </c>
      <c r="T16" s="26">
        <f t="shared" si="4"/>
        <v>0</v>
      </c>
      <c r="U16" s="26">
        <f t="shared" si="11"/>
        <v>6265</v>
      </c>
      <c r="V16" s="25">
        <f t="shared" si="16"/>
        <v>28364</v>
      </c>
      <c r="W16" s="30">
        <v>15471</v>
      </c>
      <c r="X16" s="22">
        <v>16086</v>
      </c>
      <c r="Y16" s="22">
        <f t="shared" si="12"/>
        <v>6880</v>
      </c>
      <c r="Z16" s="23">
        <v>23</v>
      </c>
      <c r="AA16" s="17" t="s">
        <v>4</v>
      </c>
    </row>
    <row r="17" spans="2:27" ht="18.75" x14ac:dyDescent="0.45">
      <c r="B17" s="33" t="s">
        <v>46</v>
      </c>
      <c r="C17" s="35">
        <v>14500</v>
      </c>
      <c r="E17" s="22">
        <f t="shared" si="0"/>
        <v>125264000</v>
      </c>
      <c r="F17" s="21">
        <f t="shared" si="13"/>
        <v>0</v>
      </c>
      <c r="G17" s="22">
        <f t="shared" si="5"/>
        <v>48300000</v>
      </c>
      <c r="H17" s="26">
        <f t="shared" si="1"/>
        <v>-21</v>
      </c>
      <c r="I17" s="29">
        <f t="shared" si="6"/>
        <v>0</v>
      </c>
      <c r="J17" s="21">
        <f t="shared" si="2"/>
        <v>971500</v>
      </c>
      <c r="K17" s="22">
        <f t="shared" si="7"/>
        <v>67</v>
      </c>
      <c r="L17" s="22">
        <f t="shared" si="14"/>
        <v>0</v>
      </c>
      <c r="M17" s="22" t="str">
        <f t="shared" si="8"/>
        <v>کار معمولی</v>
      </c>
      <c r="N17" s="23">
        <f t="shared" si="9"/>
        <v>41067</v>
      </c>
      <c r="O17" s="24">
        <v>0</v>
      </c>
      <c r="P17" s="24">
        <f t="shared" si="3"/>
        <v>12636</v>
      </c>
      <c r="Q17" s="24">
        <f t="shared" si="15"/>
        <v>28431</v>
      </c>
      <c r="R17" s="30">
        <v>117</v>
      </c>
      <c r="S17" s="22">
        <f t="shared" si="10"/>
        <v>117</v>
      </c>
      <c r="T17" s="26">
        <f t="shared" si="4"/>
        <v>0</v>
      </c>
      <c r="U17" s="26">
        <f t="shared" si="11"/>
        <v>7829</v>
      </c>
      <c r="V17" s="25">
        <f t="shared" si="16"/>
        <v>28364</v>
      </c>
      <c r="W17" s="30">
        <v>15471</v>
      </c>
      <c r="X17" s="21">
        <v>13907</v>
      </c>
      <c r="Y17" s="26">
        <f t="shared" si="12"/>
        <v>6265</v>
      </c>
      <c r="Z17" s="23">
        <v>27</v>
      </c>
      <c r="AA17" s="18" t="s">
        <v>5</v>
      </c>
    </row>
    <row r="18" spans="2:27" ht="18.75" x14ac:dyDescent="0.45">
      <c r="B18" s="33" t="s">
        <v>26</v>
      </c>
      <c r="C18" s="35">
        <v>6450000</v>
      </c>
      <c r="E18" s="22">
        <f t="shared" si="0"/>
        <v>201136000</v>
      </c>
      <c r="F18" s="21">
        <f t="shared" si="13"/>
        <v>0</v>
      </c>
      <c r="G18" s="22">
        <f t="shared" si="5"/>
        <v>219300000</v>
      </c>
      <c r="H18" s="22">
        <f t="shared" si="1"/>
        <v>34</v>
      </c>
      <c r="I18" s="29">
        <f t="shared" si="6"/>
        <v>0</v>
      </c>
      <c r="J18" s="22">
        <f t="shared" si="2"/>
        <v>2537500</v>
      </c>
      <c r="K18" s="22">
        <f t="shared" si="7"/>
        <v>175</v>
      </c>
      <c r="L18" s="22">
        <f t="shared" si="14"/>
        <v>0</v>
      </c>
      <c r="M18" s="22" t="str">
        <f t="shared" si="8"/>
        <v>کار معمولی</v>
      </c>
      <c r="N18" s="23">
        <f t="shared" si="9"/>
        <v>41223</v>
      </c>
      <c r="O18" s="24">
        <v>0</v>
      </c>
      <c r="P18" s="24">
        <f t="shared" si="3"/>
        <v>12684</v>
      </c>
      <c r="Q18" s="24">
        <f t="shared" si="15"/>
        <v>28539</v>
      </c>
      <c r="R18" s="30">
        <v>151</v>
      </c>
      <c r="S18" s="22">
        <f t="shared" si="10"/>
        <v>151</v>
      </c>
      <c r="T18" s="26">
        <f t="shared" si="4"/>
        <v>0</v>
      </c>
      <c r="U18" s="26">
        <f t="shared" si="11"/>
        <v>12571</v>
      </c>
      <c r="V18" s="25">
        <f t="shared" si="16"/>
        <v>28364</v>
      </c>
      <c r="W18" s="30">
        <v>15471</v>
      </c>
      <c r="X18" s="22">
        <v>10729</v>
      </c>
      <c r="Y18" s="22">
        <f t="shared" si="12"/>
        <v>7829</v>
      </c>
      <c r="Z18" s="23">
        <v>21</v>
      </c>
      <c r="AA18" s="17" t="s">
        <v>6</v>
      </c>
    </row>
    <row r="19" spans="2:27" ht="18.75" x14ac:dyDescent="0.45">
      <c r="B19" s="33" t="s">
        <v>27</v>
      </c>
      <c r="C19" s="35">
        <v>2300000</v>
      </c>
      <c r="E19" s="22">
        <f t="shared" si="0"/>
        <v>189296000</v>
      </c>
      <c r="F19" s="21">
        <f t="shared" si="13"/>
        <v>0</v>
      </c>
      <c r="G19" s="22">
        <f t="shared" si="5"/>
        <v>55200000</v>
      </c>
      <c r="H19" s="26">
        <f t="shared" si="1"/>
        <v>-24</v>
      </c>
      <c r="I19" s="29">
        <f t="shared" si="6"/>
        <v>0</v>
      </c>
      <c r="J19" s="21">
        <f t="shared" si="2"/>
        <v>3059500</v>
      </c>
      <c r="K19" s="22">
        <f t="shared" si="7"/>
        <v>211</v>
      </c>
      <c r="L19" s="22">
        <f t="shared" si="14"/>
        <v>0</v>
      </c>
      <c r="M19" s="22" t="str">
        <f t="shared" si="8"/>
        <v>کار معمولی</v>
      </c>
      <c r="N19" s="23">
        <f t="shared" si="9"/>
        <v>41275</v>
      </c>
      <c r="O19" s="24">
        <v>0</v>
      </c>
      <c r="P19" s="24">
        <f t="shared" si="3"/>
        <v>12700</v>
      </c>
      <c r="Q19" s="24">
        <f t="shared" si="15"/>
        <v>28575</v>
      </c>
      <c r="R19" s="30">
        <v>127</v>
      </c>
      <c r="S19" s="22">
        <f t="shared" si="10"/>
        <v>127</v>
      </c>
      <c r="T19" s="26">
        <f t="shared" si="4"/>
        <v>0</v>
      </c>
      <c r="U19" s="26">
        <f t="shared" si="11"/>
        <v>11831</v>
      </c>
      <c r="V19" s="25">
        <f t="shared" si="16"/>
        <v>28364</v>
      </c>
      <c r="W19" s="30">
        <v>15471</v>
      </c>
      <c r="X19" s="21">
        <v>16211</v>
      </c>
      <c r="Y19" s="26">
        <f t="shared" si="12"/>
        <v>12571</v>
      </c>
      <c r="Z19" s="23">
        <v>25</v>
      </c>
      <c r="AA19" s="18" t="s">
        <v>7</v>
      </c>
    </row>
    <row r="20" spans="2:27" ht="18.75" x14ac:dyDescent="0.45">
      <c r="B20" s="33" t="s">
        <v>29</v>
      </c>
      <c r="C20" s="35">
        <v>90</v>
      </c>
      <c r="E20" s="22">
        <f t="shared" si="0"/>
        <v>172512000</v>
      </c>
      <c r="F20" s="21">
        <f t="shared" si="13"/>
        <v>0</v>
      </c>
      <c r="G20" s="22">
        <f t="shared" si="5"/>
        <v>11500000</v>
      </c>
      <c r="H20" s="22">
        <f t="shared" si="1"/>
        <v>-5</v>
      </c>
      <c r="I20" s="29">
        <f t="shared" si="6"/>
        <v>0</v>
      </c>
      <c r="J20" s="22">
        <f t="shared" si="2"/>
        <v>2668000</v>
      </c>
      <c r="K20" s="22">
        <f t="shared" si="7"/>
        <v>184</v>
      </c>
      <c r="L20" s="22">
        <f t="shared" si="14"/>
        <v>0</v>
      </c>
      <c r="M20" s="22" t="str">
        <f t="shared" si="8"/>
        <v>کار معمولی</v>
      </c>
      <c r="N20" s="23">
        <f t="shared" si="9"/>
        <v>41236</v>
      </c>
      <c r="O20" s="24">
        <v>0</v>
      </c>
      <c r="P20" s="24">
        <f t="shared" si="3"/>
        <v>12688</v>
      </c>
      <c r="Q20" s="24">
        <f t="shared" si="15"/>
        <v>28548</v>
      </c>
      <c r="R20" s="30">
        <v>122</v>
      </c>
      <c r="S20" s="22">
        <f t="shared" si="10"/>
        <v>122</v>
      </c>
      <c r="T20" s="26">
        <f t="shared" si="4"/>
        <v>0</v>
      </c>
      <c r="U20" s="26">
        <f t="shared" si="11"/>
        <v>10782</v>
      </c>
      <c r="V20" s="25">
        <f t="shared" si="16"/>
        <v>28364</v>
      </c>
      <c r="W20" s="30">
        <v>15471</v>
      </c>
      <c r="X20" s="22">
        <v>16520</v>
      </c>
      <c r="Y20" s="22">
        <f t="shared" si="12"/>
        <v>11831</v>
      </c>
      <c r="Z20" s="23">
        <v>26</v>
      </c>
      <c r="AA20" s="17" t="s">
        <v>8</v>
      </c>
    </row>
    <row r="21" spans="2:27" ht="18.75" x14ac:dyDescent="0.45">
      <c r="B21" s="33" t="s">
        <v>36</v>
      </c>
      <c r="C21" s="35">
        <v>170</v>
      </c>
      <c r="E21" s="22">
        <f t="shared" si="0"/>
        <v>114016000</v>
      </c>
      <c r="F21" s="21">
        <f t="shared" si="13"/>
        <v>0</v>
      </c>
      <c r="G21" s="22">
        <f t="shared" si="5"/>
        <v>32250000</v>
      </c>
      <c r="H21" s="26">
        <f t="shared" si="1"/>
        <v>5</v>
      </c>
      <c r="I21" s="29">
        <f t="shared" si="6"/>
        <v>0</v>
      </c>
      <c r="J21" s="21">
        <f t="shared" si="2"/>
        <v>3059500</v>
      </c>
      <c r="K21" s="22">
        <f t="shared" si="7"/>
        <v>211</v>
      </c>
      <c r="L21" s="22">
        <f t="shared" si="14"/>
        <v>0</v>
      </c>
      <c r="M21" s="22" t="str">
        <f t="shared" si="8"/>
        <v>کار معمولی</v>
      </c>
      <c r="N21" s="23">
        <f t="shared" si="9"/>
        <v>41275</v>
      </c>
      <c r="O21" s="24">
        <v>0</v>
      </c>
      <c r="P21" s="24">
        <f t="shared" si="3"/>
        <v>12700</v>
      </c>
      <c r="Q21" s="24">
        <f>Z21*$C$22*R21</f>
        <v>28575</v>
      </c>
      <c r="R21" s="30">
        <v>127</v>
      </c>
      <c r="S21" s="22">
        <f t="shared" si="10"/>
        <v>127</v>
      </c>
      <c r="T21" s="26">
        <f t="shared" si="4"/>
        <v>0</v>
      </c>
      <c r="U21" s="26">
        <f t="shared" si="11"/>
        <v>7126</v>
      </c>
      <c r="V21" s="25">
        <f>_xlfn.CEILING.MATH(W21*($C$27/60))</f>
        <v>28364</v>
      </c>
      <c r="W21" s="30">
        <v>15471</v>
      </c>
      <c r="X21" s="21">
        <v>19127</v>
      </c>
      <c r="Y21" s="26">
        <f t="shared" si="12"/>
        <v>10782</v>
      </c>
      <c r="Z21" s="23">
        <v>25</v>
      </c>
      <c r="AA21" s="18" t="s">
        <v>9</v>
      </c>
    </row>
    <row r="22" spans="2:27" ht="18.75" x14ac:dyDescent="0.45">
      <c r="B22" s="33" t="s">
        <v>28</v>
      </c>
      <c r="C22" s="35">
        <v>9</v>
      </c>
      <c r="E22" s="22">
        <f t="shared" si="0"/>
        <v>124368000</v>
      </c>
      <c r="F22" s="21">
        <f t="shared" si="13"/>
        <v>0</v>
      </c>
      <c r="G22" s="22">
        <f t="shared" si="5"/>
        <v>70950000</v>
      </c>
      <c r="H22" s="22">
        <f t="shared" si="1"/>
        <v>11</v>
      </c>
      <c r="I22" s="29">
        <f t="shared" si="6"/>
        <v>0</v>
      </c>
      <c r="J22" s="22">
        <f t="shared" si="2"/>
        <v>2929000</v>
      </c>
      <c r="K22" s="22">
        <f t="shared" si="7"/>
        <v>202</v>
      </c>
      <c r="L22" s="22">
        <f t="shared" si="14"/>
        <v>0</v>
      </c>
      <c r="M22" s="22" t="str">
        <f t="shared" si="8"/>
        <v>کار معمولی</v>
      </c>
      <c r="N22" s="23">
        <f t="shared" si="9"/>
        <v>41262</v>
      </c>
      <c r="O22" s="24">
        <v>0</v>
      </c>
      <c r="P22" s="24">
        <f t="shared" si="3"/>
        <v>12696</v>
      </c>
      <c r="Q22" s="24">
        <f t="shared" si="15"/>
        <v>28566</v>
      </c>
      <c r="R22" s="30">
        <v>138</v>
      </c>
      <c r="S22" s="22">
        <f t="shared" si="10"/>
        <v>138</v>
      </c>
      <c r="T22" s="26">
        <f t="shared" si="4"/>
        <v>0</v>
      </c>
      <c r="U22" s="26">
        <f t="shared" si="11"/>
        <v>7773</v>
      </c>
      <c r="V22" s="25">
        <f t="shared" si="16"/>
        <v>28364</v>
      </c>
      <c r="W22" s="30">
        <v>15471</v>
      </c>
      <c r="X22" s="22">
        <v>14824</v>
      </c>
      <c r="Y22" s="22">
        <f t="shared" si="12"/>
        <v>7126</v>
      </c>
      <c r="Z22" s="23">
        <v>23</v>
      </c>
      <c r="AA22" s="17" t="s">
        <v>10</v>
      </c>
    </row>
    <row r="23" spans="2:27" ht="18.75" x14ac:dyDescent="0.45">
      <c r="B23" s="33" t="s">
        <v>30</v>
      </c>
      <c r="C23" s="35">
        <v>4</v>
      </c>
      <c r="E23" s="22">
        <f t="shared" si="0"/>
        <v>38400000</v>
      </c>
      <c r="F23" s="21">
        <f t="shared" si="13"/>
        <v>0</v>
      </c>
      <c r="G23" s="22">
        <f t="shared" si="5"/>
        <v>13800000</v>
      </c>
      <c r="H23" s="26">
        <f t="shared" si="1"/>
        <v>-6</v>
      </c>
      <c r="I23" s="29">
        <f t="shared" si="6"/>
        <v>0</v>
      </c>
      <c r="J23" s="21">
        <f t="shared" si="2"/>
        <v>2146000</v>
      </c>
      <c r="K23" s="22">
        <f t="shared" si="7"/>
        <v>148</v>
      </c>
      <c r="L23" s="22">
        <f t="shared" si="14"/>
        <v>0</v>
      </c>
      <c r="M23" s="22" t="str">
        <f t="shared" si="8"/>
        <v>کار معمولی</v>
      </c>
      <c r="N23" s="23">
        <f t="shared" si="9"/>
        <v>41184</v>
      </c>
      <c r="O23" s="24">
        <v>0</v>
      </c>
      <c r="P23" s="24">
        <f t="shared" si="3"/>
        <v>12672</v>
      </c>
      <c r="Q23" s="24">
        <f t="shared" si="15"/>
        <v>28512</v>
      </c>
      <c r="R23" s="30">
        <v>132</v>
      </c>
      <c r="S23" s="22">
        <f t="shared" si="10"/>
        <v>132</v>
      </c>
      <c r="T23" s="26">
        <f>MAX(0,X23-W23-Y23+T22)</f>
        <v>0</v>
      </c>
      <c r="U23" s="26">
        <f>Y12</f>
        <v>2400</v>
      </c>
      <c r="V23" s="25">
        <f t="shared" si="16"/>
        <v>28364</v>
      </c>
      <c r="W23" s="30">
        <v>15471</v>
      </c>
      <c r="X23" s="21">
        <v>20844</v>
      </c>
      <c r="Y23" s="26">
        <f t="shared" si="12"/>
        <v>7773</v>
      </c>
      <c r="Z23" s="23">
        <v>24</v>
      </c>
      <c r="AA23" s="18" t="s">
        <v>11</v>
      </c>
    </row>
    <row r="24" spans="2:27" x14ac:dyDescent="0.45">
      <c r="B24" s="36" t="s">
        <v>31</v>
      </c>
      <c r="C24" s="35">
        <v>1000</v>
      </c>
      <c r="E24" s="27">
        <f>SUM(E12:E23)</f>
        <v>1298237000</v>
      </c>
      <c r="F24" s="27">
        <f t="shared" ref="F24:G24" si="17">SUM(F12:F23)</f>
        <v>0</v>
      </c>
      <c r="G24" s="27">
        <f t="shared" si="17"/>
        <v>737300000</v>
      </c>
      <c r="H24" s="27"/>
      <c r="I24" s="27"/>
      <c r="J24" s="27">
        <f>SUM(J12:J23)</f>
        <v>30580500</v>
      </c>
      <c r="K24" s="27">
        <f>SUM(J12:J23)</f>
        <v>30580500</v>
      </c>
      <c r="L24" s="27">
        <f>SUM(K12:K23)</f>
        <v>2109</v>
      </c>
      <c r="M24" s="27">
        <f>SUM(L12:L23)</f>
        <v>0</v>
      </c>
      <c r="N24" s="22"/>
      <c r="O24" s="28"/>
      <c r="P24" s="28"/>
      <c r="Q24" s="28"/>
      <c r="R24" s="28"/>
      <c r="S24" s="27"/>
      <c r="T24" s="27"/>
      <c r="U24" s="27"/>
      <c r="V24" s="27"/>
      <c r="W24" s="27">
        <f>SUM(W12:W23)</f>
        <v>185652</v>
      </c>
      <c r="X24" s="27">
        <f>SUM(X12:X23)</f>
        <v>185652</v>
      </c>
      <c r="Y24" s="27"/>
      <c r="Z24" s="27">
        <f>SUM(Z12:Z23)</f>
        <v>288</v>
      </c>
      <c r="AA24" s="27" t="s">
        <v>47</v>
      </c>
    </row>
    <row r="25" spans="2:27" ht="18" customHeight="1" x14ac:dyDescent="0.45">
      <c r="B25" s="36" t="s">
        <v>68</v>
      </c>
      <c r="C25" s="35">
        <v>500</v>
      </c>
      <c r="E25" s="61">
        <f>E24+F24+G24+J24</f>
        <v>2066117500</v>
      </c>
      <c r="F25" s="61"/>
      <c r="G25" s="61"/>
      <c r="H25" s="61"/>
      <c r="I25" s="61"/>
      <c r="J25" s="63" t="s">
        <v>76</v>
      </c>
      <c r="K25" s="6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>
        <f>AVERAGE(X12:X23)</f>
        <v>15471</v>
      </c>
      <c r="Z25" s="15"/>
      <c r="AA25" s="15"/>
    </row>
    <row r="26" spans="2:27" ht="18.75" customHeight="1" thickBot="1" x14ac:dyDescent="0.5">
      <c r="B26" s="33" t="s">
        <v>38</v>
      </c>
      <c r="C26" s="35">
        <v>0</v>
      </c>
      <c r="E26" s="62"/>
      <c r="F26" s="62"/>
      <c r="G26" s="62"/>
      <c r="H26" s="62"/>
      <c r="I26" s="62"/>
      <c r="J26" s="64"/>
      <c r="K26" s="64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32.25" thickBot="1" x14ac:dyDescent="0.8">
      <c r="B27" s="33" t="s">
        <v>34</v>
      </c>
      <c r="C27" s="35">
        <v>110</v>
      </c>
      <c r="E27" s="41">
        <f>E24/$E$25</f>
        <v>0.62834616133883958</v>
      </c>
      <c r="F27" s="42">
        <f t="shared" ref="F27:G27" si="18">F24/$E$25</f>
        <v>0</v>
      </c>
      <c r="G27" s="42">
        <f t="shared" si="18"/>
        <v>0.35685288953798611</v>
      </c>
      <c r="H27" s="39"/>
      <c r="I27" s="39"/>
      <c r="J27" s="40">
        <f t="shared" ref="J27" si="19">J24/$E$25</f>
        <v>1.4800949123174263E-2</v>
      </c>
    </row>
    <row r="28" spans="2:27" x14ac:dyDescent="0.45">
      <c r="B28" s="33" t="s">
        <v>35</v>
      </c>
      <c r="C28" s="35">
        <v>133</v>
      </c>
      <c r="E28" s="61">
        <f>W24*C11</f>
        <v>161517240000</v>
      </c>
      <c r="F28" s="61"/>
      <c r="G28" s="61"/>
      <c r="H28" s="61"/>
      <c r="I28" s="61"/>
      <c r="J28" s="63" t="s">
        <v>75</v>
      </c>
      <c r="K28" s="63"/>
      <c r="P28" s="19"/>
    </row>
    <row r="29" spans="2:27" ht="18.75" thickBot="1" x14ac:dyDescent="0.5">
      <c r="B29" s="37" t="s">
        <v>58</v>
      </c>
      <c r="C29" s="38">
        <v>2400</v>
      </c>
      <c r="E29" s="62"/>
      <c r="F29" s="62"/>
      <c r="G29" s="62"/>
      <c r="H29" s="62"/>
      <c r="I29" s="62"/>
      <c r="J29" s="64"/>
      <c r="K29" s="64"/>
    </row>
    <row r="30" spans="2:27" x14ac:dyDescent="0.45">
      <c r="C30" s="15"/>
      <c r="E30" s="61">
        <f>E28+E25</f>
        <v>163583357500</v>
      </c>
      <c r="F30" s="61"/>
      <c r="G30" s="61"/>
      <c r="H30" s="61"/>
      <c r="I30" s="61"/>
      <c r="J30" s="63" t="s">
        <v>47</v>
      </c>
      <c r="K30" s="63"/>
    </row>
    <row r="31" spans="2:27" x14ac:dyDescent="0.45">
      <c r="E31" s="62"/>
      <c r="F31" s="62"/>
      <c r="G31" s="62"/>
      <c r="H31" s="62"/>
      <c r="I31" s="62"/>
      <c r="J31" s="64"/>
      <c r="K31" s="64"/>
    </row>
    <row r="44" spans="12:16" x14ac:dyDescent="0.45">
      <c r="L44" s="43"/>
      <c r="M44" s="43"/>
      <c r="N44" s="43"/>
      <c r="O44" s="43"/>
      <c r="P44" s="43"/>
    </row>
    <row r="45" spans="12:16" x14ac:dyDescent="0.45">
      <c r="L45" s="43"/>
      <c r="M45" s="43"/>
      <c r="N45" s="43"/>
      <c r="O45" s="43"/>
      <c r="P45" s="43"/>
    </row>
  </sheetData>
  <sheetProtection algorithmName="SHA-512" hashValue="SMOABwUNiglipvourfEbYsowValK212OH3Wx5qbl7Gtl23PdxMjMNunnCwln+/2CLox0Yn8jcEAIGRALN57zfg==" saltValue="EXGVhafV+QPF6oTUhjIHFg==" spinCount="100000" sheet="1" objects="1" scenarios="1"/>
  <mergeCells count="26">
    <mergeCell ref="G7:H7"/>
    <mergeCell ref="E8:E10"/>
    <mergeCell ref="F8:F10"/>
    <mergeCell ref="G8:G10"/>
    <mergeCell ref="H8:H10"/>
    <mergeCell ref="Z8:Z10"/>
    <mergeCell ref="E25:I26"/>
    <mergeCell ref="J25:K26"/>
    <mergeCell ref="P8:P10"/>
    <mergeCell ref="Q8:Q10"/>
    <mergeCell ref="R8:R10"/>
    <mergeCell ref="S8:S10"/>
    <mergeCell ref="T8:T10"/>
    <mergeCell ref="V8:V10"/>
    <mergeCell ref="J8:J10"/>
    <mergeCell ref="K8:K10"/>
    <mergeCell ref="L8:L10"/>
    <mergeCell ref="M8:M10"/>
    <mergeCell ref="N8:N10"/>
    <mergeCell ref="O8:O10"/>
    <mergeCell ref="I8:I10"/>
    <mergeCell ref="E28:I29"/>
    <mergeCell ref="J28:K29"/>
    <mergeCell ref="E30:I31"/>
    <mergeCell ref="J30:K31"/>
    <mergeCell ref="Y8:Y10"/>
  </mergeCells>
  <conditionalFormatting sqref="Q12:Q23">
    <cfRule type="expression" dxfId="113" priority="18">
      <formula>IF(Q12&lt;V12,1,0)</formula>
    </cfRule>
  </conditionalFormatting>
  <conditionalFormatting sqref="N12:N23">
    <cfRule type="expression" dxfId="112" priority="17">
      <formula>IF(N12&gt;V12,1,0)</formula>
    </cfRule>
  </conditionalFormatting>
  <conditionalFormatting sqref="H12:H23">
    <cfRule type="cellIs" dxfId="111" priority="14" operator="lessThan">
      <formula>0</formula>
    </cfRule>
    <cfRule type="cellIs" dxfId="110" priority="16" operator="greaterThan">
      <formula>0</formula>
    </cfRule>
  </conditionalFormatting>
  <conditionalFormatting sqref="G12:G23">
    <cfRule type="expression" dxfId="109" priority="15">
      <formula>IF(H12&lt;0,1,0)</formula>
    </cfRule>
  </conditionalFormatting>
  <conditionalFormatting sqref="H24 G12:G23">
    <cfRule type="expression" dxfId="108" priority="13">
      <formula>IF(H12&gt;0,1,0)</formula>
    </cfRule>
  </conditionalFormatting>
  <conditionalFormatting sqref="H12:H23">
    <cfRule type="expression" dxfId="107" priority="19">
      <formula>IF(J12&lt;0,1,0)</formula>
    </cfRule>
  </conditionalFormatting>
  <conditionalFormatting sqref="I12:I23">
    <cfRule type="cellIs" dxfId="106" priority="1" operator="equal">
      <formula>0</formula>
    </cfRule>
    <cfRule type="cellIs" dxfId="105" priority="12" operator="between">
      <formula>$C$25-1</formula>
      <formula>-$C$25+1</formula>
    </cfRule>
  </conditionalFormatting>
  <conditionalFormatting sqref="T12:T23">
    <cfRule type="cellIs" dxfId="104" priority="11" operator="greaterThan">
      <formula>$C$15</formula>
    </cfRule>
  </conditionalFormatting>
  <conditionalFormatting sqref="U11:U23">
    <cfRule type="cellIs" dxfId="103" priority="10" operator="greaterThan">
      <formula>$C$16</formula>
    </cfRule>
  </conditionalFormatting>
  <conditionalFormatting sqref="Y12:Y23">
    <cfRule type="cellIs" dxfId="102" priority="9" operator="lessThan">
      <formula>$C$26</formula>
    </cfRule>
  </conditionalFormatting>
  <conditionalFormatting sqref="Z12:Z23">
    <cfRule type="cellIs" dxfId="101" priority="8" operator="between">
      <formula>15</formula>
      <formula>28</formula>
    </cfRule>
  </conditionalFormatting>
  <conditionalFormatting sqref="W24:X24">
    <cfRule type="cellIs" dxfId="100" priority="7" operator="notEqual">
      <formula>$X$24</formula>
    </cfRule>
  </conditionalFormatting>
  <conditionalFormatting sqref="V12:V23">
    <cfRule type="expression" dxfId="99" priority="6">
      <formula>IF(N12&lt;V12,1,0)</formula>
    </cfRule>
  </conditionalFormatting>
  <conditionalFormatting sqref="E12:E23">
    <cfRule type="expression" dxfId="98" priority="4">
      <formula>IF(U12&gt;0,1,0)</formula>
    </cfRule>
    <cfRule type="expression" dxfId="97" priority="5">
      <formula>IF(T12&gt;0,1,0)</formula>
    </cfRule>
  </conditionalFormatting>
  <conditionalFormatting sqref="F12:F23">
    <cfRule type="cellIs" dxfId="96" priority="3" operator="greaterThan">
      <formula>0</formula>
    </cfRule>
  </conditionalFormatting>
  <conditionalFormatting sqref="J12:J23">
    <cfRule type="cellIs" dxfId="95" priority="2" operator="greaterThan">
      <formula>0</formula>
    </cfRule>
  </conditionalFormatting>
  <dataValidations count="1">
    <dataValidation type="whole" allowBlank="1" showInputMessage="1" showErrorMessage="1" sqref="R12:R23" xr:uid="{00000000-0002-0000-0200-000000000000}">
      <formula1>$C$20</formula1>
      <formula2>$C$21</formula2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E31"/>
  <sheetViews>
    <sheetView showGridLines="0" topLeftCell="L1" zoomScale="70" zoomScaleNormal="70" workbookViewId="0">
      <selection activeCell="Q5" sqref="Q5"/>
    </sheetView>
  </sheetViews>
  <sheetFormatPr defaultColWidth="9" defaultRowHeight="18" x14ac:dyDescent="0.45"/>
  <cols>
    <col min="1" max="1" width="9" style="14"/>
    <col min="2" max="2" width="29.125" style="14" bestFit="1" customWidth="1"/>
    <col min="3" max="3" width="17.625" style="14" bestFit="1" customWidth="1"/>
    <col min="4" max="4" width="9" style="14"/>
    <col min="5" max="5" width="17.625" style="14" bestFit="1" customWidth="1"/>
    <col min="6" max="6" width="17.125" style="14" bestFit="1" customWidth="1"/>
    <col min="7" max="7" width="13.375" style="14" bestFit="1" customWidth="1"/>
    <col min="8" max="8" width="14.125" style="14" bestFit="1" customWidth="1"/>
    <col min="9" max="9" width="9.125" style="14" bestFit="1" customWidth="1"/>
    <col min="10" max="10" width="17.125" style="14" bestFit="1" customWidth="1"/>
    <col min="11" max="11" width="21.625" style="14" bestFit="1" customWidth="1"/>
    <col min="12" max="12" width="17.625" style="14" bestFit="1" customWidth="1"/>
    <col min="13" max="13" width="23.625" style="14" bestFit="1" customWidth="1"/>
    <col min="14" max="14" width="19.125" style="14" bestFit="1" customWidth="1"/>
    <col min="15" max="15" width="25.125" style="14" bestFit="1" customWidth="1"/>
    <col min="16" max="16" width="27.125" style="14" bestFit="1" customWidth="1"/>
    <col min="17" max="17" width="30.125" style="14" bestFit="1" customWidth="1"/>
    <col min="18" max="18" width="17.625" style="14" bestFit="1" customWidth="1"/>
    <col min="19" max="19" width="14.625" style="14" bestFit="1" customWidth="1"/>
    <col min="20" max="20" width="6.125" style="14" bestFit="1" customWidth="1"/>
    <col min="21" max="21" width="11.625" style="14" bestFit="1" customWidth="1"/>
    <col min="22" max="22" width="15.625" style="14" bestFit="1" customWidth="1"/>
    <col min="23" max="24" width="9.625" style="14" bestFit="1" customWidth="1"/>
    <col min="25" max="25" width="11.625" style="14" bestFit="1" customWidth="1"/>
    <col min="26" max="26" width="13.125" style="14" bestFit="1" customWidth="1"/>
    <col min="27" max="27" width="13.625" style="14" bestFit="1" customWidth="1"/>
    <col min="28" max="16384" width="9" style="14"/>
  </cols>
  <sheetData>
    <row r="1" spans="1:31" customFormat="1" ht="39.75" customHeight="1" x14ac:dyDescent="0.2">
      <c r="A1" s="51" t="str">
        <f>"                     ‌Production Planning  (Saya Oven Toaster (پارس خزر))       -     "</f>
        <v xml:space="preserve">                     ‌Production Planning  (Saya Oven Toaster (پارس خزر))       -     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7" spans="1:31" x14ac:dyDescent="0.45">
      <c r="G7" s="70" t="s">
        <v>66</v>
      </c>
      <c r="H7" s="70"/>
    </row>
    <row r="8" spans="1:31" ht="36.75" thickBot="1" x14ac:dyDescent="0.5">
      <c r="E8" s="65" t="s">
        <v>71</v>
      </c>
      <c r="F8" s="65" t="s">
        <v>72</v>
      </c>
      <c r="G8" s="65" t="s">
        <v>67</v>
      </c>
      <c r="H8" s="65" t="s">
        <v>16</v>
      </c>
      <c r="I8" s="65" t="s">
        <v>69</v>
      </c>
      <c r="J8" s="65" t="s">
        <v>45</v>
      </c>
      <c r="K8" s="65" t="s">
        <v>44</v>
      </c>
      <c r="L8" s="65" t="s">
        <v>42</v>
      </c>
      <c r="M8" s="65" t="s">
        <v>65</v>
      </c>
      <c r="N8" s="69" t="s">
        <v>64</v>
      </c>
      <c r="O8" s="69" t="s">
        <v>63</v>
      </c>
      <c r="P8" s="69" t="s">
        <v>62</v>
      </c>
      <c r="Q8" s="69" t="s">
        <v>61</v>
      </c>
      <c r="R8" s="68" t="s">
        <v>54</v>
      </c>
      <c r="S8" s="65" t="s">
        <v>15</v>
      </c>
      <c r="T8" s="65" t="s">
        <v>41</v>
      </c>
      <c r="U8" s="44" t="s">
        <v>14</v>
      </c>
      <c r="V8" s="65" t="s">
        <v>60</v>
      </c>
      <c r="W8" s="44" t="s">
        <v>13</v>
      </c>
      <c r="X8" s="44" t="s">
        <v>40</v>
      </c>
      <c r="Y8" s="65" t="s">
        <v>12</v>
      </c>
      <c r="Z8" s="65" t="s">
        <v>39</v>
      </c>
      <c r="AA8" s="44" t="s">
        <v>48</v>
      </c>
    </row>
    <row r="9" spans="1:31" x14ac:dyDescent="0.45">
      <c r="B9" s="31" t="s">
        <v>57</v>
      </c>
      <c r="C9" s="32" t="s">
        <v>37</v>
      </c>
      <c r="E9" s="66"/>
      <c r="F9" s="66"/>
      <c r="G9" s="66"/>
      <c r="H9" s="66"/>
      <c r="I9" s="66"/>
      <c r="J9" s="66"/>
      <c r="K9" s="66"/>
      <c r="L9" s="66"/>
      <c r="M9" s="66"/>
      <c r="N9" s="69"/>
      <c r="O9" s="69"/>
      <c r="P9" s="69"/>
      <c r="Q9" s="69"/>
      <c r="R9" s="68"/>
      <c r="S9" s="66"/>
      <c r="T9" s="66"/>
      <c r="U9" s="45"/>
      <c r="V9" s="66"/>
      <c r="W9" s="45"/>
      <c r="X9" s="45"/>
      <c r="Y9" s="66"/>
      <c r="Z9" s="66"/>
      <c r="AA9" s="45"/>
    </row>
    <row r="10" spans="1:31" x14ac:dyDescent="0.45">
      <c r="B10" s="33" t="s">
        <v>56</v>
      </c>
      <c r="C10" s="34">
        <f>C12-C11</f>
        <v>80000</v>
      </c>
      <c r="E10" s="67"/>
      <c r="F10" s="67"/>
      <c r="G10" s="67"/>
      <c r="H10" s="67"/>
      <c r="I10" s="67"/>
      <c r="J10" s="67"/>
      <c r="K10" s="67"/>
      <c r="L10" s="67"/>
      <c r="M10" s="67"/>
      <c r="N10" s="69"/>
      <c r="O10" s="69"/>
      <c r="P10" s="69"/>
      <c r="Q10" s="69"/>
      <c r="R10" s="68"/>
      <c r="S10" s="67"/>
      <c r="T10" s="67"/>
      <c r="U10" s="46"/>
      <c r="V10" s="67"/>
      <c r="W10" s="46"/>
      <c r="X10" s="46"/>
      <c r="Y10" s="67"/>
      <c r="Z10" s="67"/>
      <c r="AA10" s="46"/>
    </row>
    <row r="11" spans="1:31" x14ac:dyDescent="0.45">
      <c r="B11" s="33" t="s">
        <v>22</v>
      </c>
      <c r="C11" s="35">
        <v>870000</v>
      </c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1"/>
      <c r="P11" s="21"/>
      <c r="Q11" s="21"/>
      <c r="R11" s="21">
        <f>ROUNDUP(AVERAGE(S12:S23),0)</f>
        <v>133</v>
      </c>
      <c r="S11" s="21"/>
      <c r="T11" s="20"/>
      <c r="U11" s="20"/>
      <c r="V11" s="20"/>
      <c r="W11" s="20">
        <f>X24/12</f>
        <v>15471</v>
      </c>
      <c r="X11" s="20"/>
      <c r="Y11" s="20"/>
      <c r="Z11" s="20"/>
      <c r="AA11" s="16"/>
    </row>
    <row r="12" spans="1:31" ht="18.75" x14ac:dyDescent="0.45">
      <c r="B12" s="33" t="s">
        <v>23</v>
      </c>
      <c r="C12" s="35">
        <v>950000</v>
      </c>
      <c r="E12" s="22">
        <f t="shared" ref="E12:E23" si="0">MAX(T12*$C$14,U12*$C$13)</f>
        <v>60992000</v>
      </c>
      <c r="F12" s="21">
        <f>L12*(60/$C$27)*$C$10</f>
        <v>86661818.181818187</v>
      </c>
      <c r="G12" s="22">
        <f>IF(H12&gt;=0,H12*$C$18,ABS(H12*$C$19))</f>
        <v>116100000</v>
      </c>
      <c r="H12" s="22">
        <f t="shared" ref="H12:H23" si="1">R12-R11</f>
        <v>18</v>
      </c>
      <c r="I12" s="29">
        <f>W12-W11</f>
        <v>1179</v>
      </c>
      <c r="J12" s="22">
        <f t="shared" ref="J12:J23" si="2">K12*$C$17</f>
        <v>0</v>
      </c>
      <c r="K12" s="22">
        <f>MAX(0,Q12-V12)</f>
        <v>0</v>
      </c>
      <c r="L12" s="22">
        <f>MIN(MAX(0,V12-Q12),P12)</f>
        <v>1986</v>
      </c>
      <c r="M12" s="22" t="str">
        <f>IF(V12&lt;Q12,"کار معمولی",IF(V12&lt;Q12+P12,"کار معمولی + اضافه کاری","کار معمولی، اضافه‌کاری و پیمانکاری"))</f>
        <v>کار معمولی + اضافه کاری</v>
      </c>
      <c r="N12" s="23">
        <f>O12+P12+Q12</f>
        <v>41223</v>
      </c>
      <c r="O12" s="24">
        <v>0</v>
      </c>
      <c r="P12" s="24">
        <f>Z12*$C$23*R12</f>
        <v>12684</v>
      </c>
      <c r="Q12" s="24">
        <f>Z12*$C$22*R12</f>
        <v>28539</v>
      </c>
      <c r="R12" s="30">
        <v>151</v>
      </c>
      <c r="S12" s="22">
        <f>MIN(_xlfn.CEILING.MATH(V12/(Z12*$C$22)),$C$21)</f>
        <v>162</v>
      </c>
      <c r="T12" s="26">
        <f t="shared" ref="T12:T22" si="3">MAX(0,X12-W12-Y12+T11)</f>
        <v>0</v>
      </c>
      <c r="U12" s="26">
        <f>MAX(0,W12-X12+Y12-T11)</f>
        <v>3812</v>
      </c>
      <c r="V12" s="25">
        <f>_xlfn.CEILING.MATH(W12*($C$27/60))</f>
        <v>30525</v>
      </c>
      <c r="W12" s="30">
        <v>16650</v>
      </c>
      <c r="X12" s="22">
        <v>15238</v>
      </c>
      <c r="Y12" s="22">
        <f>C29</f>
        <v>2400</v>
      </c>
      <c r="Z12" s="23">
        <v>21</v>
      </c>
      <c r="AA12" s="17" t="s">
        <v>0</v>
      </c>
    </row>
    <row r="13" spans="1:31" ht="18.75" x14ac:dyDescent="0.45">
      <c r="B13" s="33" t="s">
        <v>59</v>
      </c>
      <c r="C13" s="35">
        <v>16000</v>
      </c>
      <c r="E13" s="22">
        <f t="shared" si="0"/>
        <v>36912000</v>
      </c>
      <c r="F13" s="21">
        <f>L13*(60/$C$27)*$C$10</f>
        <v>0</v>
      </c>
      <c r="G13" s="22">
        <f>IF(H13&gt;=0,H13*$C$18,ABS(H13*$C$19))</f>
        <v>0</v>
      </c>
      <c r="H13" s="26">
        <f t="shared" si="1"/>
        <v>0</v>
      </c>
      <c r="I13" s="29">
        <f t="shared" ref="I13:I23" si="4">W13-W12</f>
        <v>0</v>
      </c>
      <c r="J13" s="21">
        <f t="shared" si="2"/>
        <v>10614000</v>
      </c>
      <c r="K13" s="22">
        <f t="shared" ref="K13:K23" si="5">MAX(0,Q13-V13)</f>
        <v>732</v>
      </c>
      <c r="L13" s="22">
        <f>MIN(MAX(0,V13-Q13),P13)</f>
        <v>0</v>
      </c>
      <c r="M13" s="22" t="str">
        <f t="shared" ref="M13:M23" si="6">IF(V13&lt;Q13,"کار معمولی",IF(V13&lt;Q13+P13,"کار معمولی + اضافه کاری","کار معمولی، اضافه‌کاری و پیمانکاری"))</f>
        <v>کار معمولی</v>
      </c>
      <c r="N13" s="23">
        <f t="shared" ref="N13:N23" si="7">O13+P13+Q13</f>
        <v>45149</v>
      </c>
      <c r="O13" s="24">
        <v>0</v>
      </c>
      <c r="P13" s="24">
        <f t="shared" ref="P13:P23" si="8">Z13*$C$23*R13</f>
        <v>13892</v>
      </c>
      <c r="Q13" s="24">
        <f>Z13*$C$22*R13</f>
        <v>31257</v>
      </c>
      <c r="R13" s="30">
        <v>151</v>
      </c>
      <c r="S13" s="22">
        <f t="shared" ref="S13:S23" si="9">MIN(_xlfn.CEILING.MATH(V13/(Z13*$C$22)),$C$21)</f>
        <v>148</v>
      </c>
      <c r="T13" s="26">
        <f t="shared" si="3"/>
        <v>0</v>
      </c>
      <c r="U13" s="26">
        <f t="shared" ref="U13:U22" si="10">MAX(0,W13-X13+Y13-T12)</f>
        <v>2307</v>
      </c>
      <c r="V13" s="25">
        <f>_xlfn.CEILING.MATH(W13*($C$27/60))</f>
        <v>30525</v>
      </c>
      <c r="W13" s="30">
        <v>16650</v>
      </c>
      <c r="X13" s="21">
        <v>18155</v>
      </c>
      <c r="Y13" s="26">
        <f t="shared" ref="Y13:Y23" si="11">U12</f>
        <v>3812</v>
      </c>
      <c r="Z13" s="23">
        <v>23</v>
      </c>
      <c r="AA13" s="18" t="s">
        <v>1</v>
      </c>
    </row>
    <row r="14" spans="1:31" ht="18.75" x14ac:dyDescent="0.45">
      <c r="B14" s="33" t="s">
        <v>25</v>
      </c>
      <c r="C14" s="35">
        <v>255000</v>
      </c>
      <c r="E14" s="22">
        <f>MAX(T14*$C$14,U14*$C$13)</f>
        <v>62784000</v>
      </c>
      <c r="F14" s="21">
        <f>L14*(60/$C$27)*$C$10</f>
        <v>0</v>
      </c>
      <c r="G14" s="22">
        <f>IF(H14&gt;=0,H14*$C$18,ABS(H14*$C$19))</f>
        <v>85100000</v>
      </c>
      <c r="H14" s="22">
        <f t="shared" si="1"/>
        <v>-37</v>
      </c>
      <c r="I14" s="29">
        <f>W14-W13</f>
        <v>-3850</v>
      </c>
      <c r="J14" s="22">
        <f>K14*$C$17</f>
        <v>16776500</v>
      </c>
      <c r="K14" s="22">
        <f t="shared" si="5"/>
        <v>1157</v>
      </c>
      <c r="L14" s="22">
        <f t="shared" ref="L14:L23" si="12">MIN(MAX(0,V14-Q14),P14)</f>
        <v>0</v>
      </c>
      <c r="M14" s="22" t="str">
        <f t="shared" si="6"/>
        <v>کار معمولی</v>
      </c>
      <c r="N14" s="23">
        <f t="shared" si="7"/>
        <v>35568</v>
      </c>
      <c r="O14" s="24">
        <v>0</v>
      </c>
      <c r="P14" s="24">
        <f t="shared" si="8"/>
        <v>10944</v>
      </c>
      <c r="Q14" s="24">
        <f t="shared" ref="Q14:Q23" si="13">Z14*$C$22*R14</f>
        <v>24624</v>
      </c>
      <c r="R14" s="30">
        <v>114</v>
      </c>
      <c r="S14" s="22">
        <f t="shared" si="9"/>
        <v>109</v>
      </c>
      <c r="T14" s="26">
        <f t="shared" si="3"/>
        <v>0</v>
      </c>
      <c r="U14" s="26">
        <f t="shared" si="10"/>
        <v>3924</v>
      </c>
      <c r="V14" s="25">
        <f t="shared" ref="V14:V22" si="14">_xlfn.CEILING.MATH(W14*($C$27/60))</f>
        <v>23467</v>
      </c>
      <c r="W14" s="30">
        <v>12800</v>
      </c>
      <c r="X14" s="22">
        <v>11183</v>
      </c>
      <c r="Y14" s="22">
        <f t="shared" si="11"/>
        <v>2307</v>
      </c>
      <c r="Z14" s="23">
        <v>24</v>
      </c>
      <c r="AA14" s="17" t="s">
        <v>2</v>
      </c>
    </row>
    <row r="15" spans="1:31" ht="18.75" x14ac:dyDescent="0.45">
      <c r="B15" s="36" t="s">
        <v>32</v>
      </c>
      <c r="C15" s="35">
        <v>1000</v>
      </c>
      <c r="E15" s="22">
        <f t="shared" si="0"/>
        <v>62336000</v>
      </c>
      <c r="F15" s="21">
        <f t="shared" ref="F15:F23" si="15">L15*(60/$C$27)*$C$10</f>
        <v>0</v>
      </c>
      <c r="G15" s="22">
        <f t="shared" ref="G15:G23" si="16">IF(H15&gt;=0,H15*$C$18,ABS(H15*$C$19))</f>
        <v>0</v>
      </c>
      <c r="H15" s="26">
        <f t="shared" si="1"/>
        <v>0</v>
      </c>
      <c r="I15" s="29">
        <f>W15-W14</f>
        <v>0</v>
      </c>
      <c r="J15" s="21">
        <f>K15*$C$17</f>
        <v>46530500</v>
      </c>
      <c r="K15" s="22">
        <f t="shared" si="5"/>
        <v>3209</v>
      </c>
      <c r="L15" s="22">
        <f t="shared" si="12"/>
        <v>0</v>
      </c>
      <c r="M15" s="22" t="str">
        <f t="shared" si="6"/>
        <v>کار معمولی</v>
      </c>
      <c r="N15" s="23">
        <f t="shared" si="7"/>
        <v>38532</v>
      </c>
      <c r="O15" s="24">
        <v>0</v>
      </c>
      <c r="P15" s="24">
        <f t="shared" si="8"/>
        <v>11856</v>
      </c>
      <c r="Q15" s="24">
        <f t="shared" si="13"/>
        <v>26676</v>
      </c>
      <c r="R15" s="30">
        <v>114</v>
      </c>
      <c r="S15" s="22">
        <f t="shared" si="9"/>
        <v>101</v>
      </c>
      <c r="T15" s="26">
        <f t="shared" si="3"/>
        <v>0</v>
      </c>
      <c r="U15" s="26">
        <f t="shared" si="10"/>
        <v>3896</v>
      </c>
      <c r="V15" s="25">
        <f>_xlfn.CEILING.MATH(W15*($C$27/60))</f>
        <v>23467</v>
      </c>
      <c r="W15" s="30">
        <v>12800</v>
      </c>
      <c r="X15" s="21">
        <v>12828</v>
      </c>
      <c r="Y15" s="26">
        <f t="shared" si="11"/>
        <v>3924</v>
      </c>
      <c r="Z15" s="23">
        <v>26</v>
      </c>
      <c r="AA15" s="18" t="s">
        <v>3</v>
      </c>
    </row>
    <row r="16" spans="1:31" ht="18.75" x14ac:dyDescent="0.45">
      <c r="B16" s="33" t="s">
        <v>70</v>
      </c>
      <c r="C16" s="35">
        <v>10000</v>
      </c>
      <c r="E16" s="22">
        <f t="shared" si="0"/>
        <v>9760000</v>
      </c>
      <c r="F16" s="21">
        <f>L16*(60/$C$27)*$C$10</f>
        <v>0</v>
      </c>
      <c r="G16" s="22">
        <f t="shared" si="16"/>
        <v>0</v>
      </c>
      <c r="H16" s="22">
        <f t="shared" si="1"/>
        <v>0</v>
      </c>
      <c r="I16" s="29">
        <f t="shared" si="4"/>
        <v>0</v>
      </c>
      <c r="J16" s="22">
        <f t="shared" si="2"/>
        <v>1899500</v>
      </c>
      <c r="K16" s="22">
        <f>MAX(0,Q16-V16)</f>
        <v>131</v>
      </c>
      <c r="L16" s="22">
        <f>MIN(MAX(0,V16-Q16),P16)</f>
        <v>0</v>
      </c>
      <c r="M16" s="22" t="str">
        <f>IF(V16&lt;Q16,"کار معمولی",IF(V16&lt;Q16+P16,"کار معمولی + اضافه کاری","کار معمولی، اضافه‌کاری و پیمانکاری"))</f>
        <v>کار معمولی</v>
      </c>
      <c r="N16" s="23">
        <f>O16+P16+Q16</f>
        <v>34086</v>
      </c>
      <c r="O16" s="24">
        <v>0</v>
      </c>
      <c r="P16" s="24">
        <f>Z16*$C$23*R16</f>
        <v>10488</v>
      </c>
      <c r="Q16" s="24">
        <f>Z16*$C$22*R16</f>
        <v>23598</v>
      </c>
      <c r="R16" s="30">
        <v>114</v>
      </c>
      <c r="S16" s="22">
        <f>MIN(_xlfn.CEILING.MATH(V16/(Z16*$C$22)),$C$21)</f>
        <v>114</v>
      </c>
      <c r="T16" s="26">
        <f>MAX(0,X16-W16-Y16+T15)</f>
        <v>0</v>
      </c>
      <c r="U16" s="26">
        <f t="shared" si="10"/>
        <v>610</v>
      </c>
      <c r="V16" s="25">
        <f>_xlfn.CEILING.MATH(W16*($C$27/60))</f>
        <v>23467</v>
      </c>
      <c r="W16" s="30">
        <v>12800</v>
      </c>
      <c r="X16" s="22">
        <v>16086</v>
      </c>
      <c r="Y16" s="22">
        <f t="shared" si="11"/>
        <v>3896</v>
      </c>
      <c r="Z16" s="23">
        <v>23</v>
      </c>
      <c r="AA16" s="17" t="s">
        <v>4</v>
      </c>
    </row>
    <row r="17" spans="2:27" ht="18.75" x14ac:dyDescent="0.45">
      <c r="B17" s="33" t="s">
        <v>46</v>
      </c>
      <c r="C17" s="35">
        <v>14500</v>
      </c>
      <c r="E17" s="22">
        <f t="shared" si="0"/>
        <v>80000</v>
      </c>
      <c r="F17" s="21">
        <f t="shared" si="15"/>
        <v>0</v>
      </c>
      <c r="G17" s="22">
        <f t="shared" si="16"/>
        <v>0</v>
      </c>
      <c r="H17" s="26">
        <f t="shared" si="1"/>
        <v>0</v>
      </c>
      <c r="I17" s="29">
        <f t="shared" si="4"/>
        <v>502</v>
      </c>
      <c r="J17" s="21">
        <f t="shared" si="2"/>
        <v>48067500</v>
      </c>
      <c r="K17" s="22">
        <f t="shared" si="5"/>
        <v>3315</v>
      </c>
      <c r="L17" s="22">
        <f t="shared" si="12"/>
        <v>0</v>
      </c>
      <c r="M17" s="22" t="str">
        <f t="shared" si="6"/>
        <v>کار معمولی</v>
      </c>
      <c r="N17" s="23">
        <f t="shared" si="7"/>
        <v>40014</v>
      </c>
      <c r="O17" s="24">
        <v>0</v>
      </c>
      <c r="P17" s="24">
        <f t="shared" si="8"/>
        <v>12312</v>
      </c>
      <c r="Q17" s="24">
        <f t="shared" si="13"/>
        <v>27702</v>
      </c>
      <c r="R17" s="30">
        <v>114</v>
      </c>
      <c r="S17" s="22">
        <f t="shared" si="9"/>
        <v>101</v>
      </c>
      <c r="T17" s="26">
        <f t="shared" si="3"/>
        <v>0</v>
      </c>
      <c r="U17" s="26">
        <f t="shared" si="10"/>
        <v>5</v>
      </c>
      <c r="V17" s="25">
        <f t="shared" si="14"/>
        <v>24387</v>
      </c>
      <c r="W17" s="30">
        <v>13302</v>
      </c>
      <c r="X17" s="21">
        <v>13907</v>
      </c>
      <c r="Y17" s="26">
        <f t="shared" si="11"/>
        <v>610</v>
      </c>
      <c r="Z17" s="23">
        <v>27</v>
      </c>
      <c r="AA17" s="18" t="s">
        <v>5</v>
      </c>
    </row>
    <row r="18" spans="2:27" ht="18.75" x14ac:dyDescent="0.45">
      <c r="B18" s="33" t="s">
        <v>26</v>
      </c>
      <c r="C18" s="35">
        <v>6450000</v>
      </c>
      <c r="E18" s="22">
        <f t="shared" si="0"/>
        <v>41248000</v>
      </c>
      <c r="F18" s="21">
        <f t="shared" si="15"/>
        <v>33250909.09090909</v>
      </c>
      <c r="G18" s="22">
        <f t="shared" si="16"/>
        <v>70950000</v>
      </c>
      <c r="H18" s="22">
        <f t="shared" si="1"/>
        <v>11</v>
      </c>
      <c r="I18" s="29">
        <f t="shared" si="4"/>
        <v>0</v>
      </c>
      <c r="J18" s="22">
        <f t="shared" si="2"/>
        <v>0</v>
      </c>
      <c r="K18" s="22">
        <f t="shared" si="5"/>
        <v>0</v>
      </c>
      <c r="L18" s="22">
        <f t="shared" si="12"/>
        <v>762</v>
      </c>
      <c r="M18" s="22" t="str">
        <f t="shared" si="6"/>
        <v>کار معمولی + اضافه کاری</v>
      </c>
      <c r="N18" s="23">
        <f t="shared" si="7"/>
        <v>34125</v>
      </c>
      <c r="O18" s="24">
        <v>0</v>
      </c>
      <c r="P18" s="24">
        <f t="shared" si="8"/>
        <v>10500</v>
      </c>
      <c r="Q18" s="24">
        <f t="shared" si="13"/>
        <v>23625</v>
      </c>
      <c r="R18" s="30">
        <v>125</v>
      </c>
      <c r="S18" s="22">
        <f t="shared" si="9"/>
        <v>130</v>
      </c>
      <c r="T18" s="26">
        <f t="shared" si="3"/>
        <v>0</v>
      </c>
      <c r="U18" s="26">
        <f t="shared" si="10"/>
        <v>2578</v>
      </c>
      <c r="V18" s="25">
        <f t="shared" si="14"/>
        <v>24387</v>
      </c>
      <c r="W18" s="30">
        <v>13302</v>
      </c>
      <c r="X18" s="22">
        <v>10729</v>
      </c>
      <c r="Y18" s="22">
        <f t="shared" si="11"/>
        <v>5</v>
      </c>
      <c r="Z18" s="23">
        <v>21</v>
      </c>
      <c r="AA18" s="17" t="s">
        <v>6</v>
      </c>
    </row>
    <row r="19" spans="2:27" ht="18.75" x14ac:dyDescent="0.45">
      <c r="B19" s="33" t="s">
        <v>27</v>
      </c>
      <c r="C19" s="35">
        <v>2300000</v>
      </c>
      <c r="E19" s="22">
        <f t="shared" si="0"/>
        <v>23888000</v>
      </c>
      <c r="F19" s="21">
        <f t="shared" si="15"/>
        <v>0</v>
      </c>
      <c r="G19" s="22">
        <f t="shared" si="16"/>
        <v>0</v>
      </c>
      <c r="H19" s="26">
        <f t="shared" si="1"/>
        <v>0</v>
      </c>
      <c r="I19" s="29">
        <f t="shared" si="4"/>
        <v>1824</v>
      </c>
      <c r="J19" s="21">
        <f t="shared" si="2"/>
        <v>5713000</v>
      </c>
      <c r="K19" s="22">
        <f t="shared" si="5"/>
        <v>394</v>
      </c>
      <c r="L19" s="22">
        <f t="shared" si="12"/>
        <v>0</v>
      </c>
      <c r="M19" s="22" t="str">
        <f t="shared" si="6"/>
        <v>کار معمولی</v>
      </c>
      <c r="N19" s="23">
        <f t="shared" si="7"/>
        <v>40625</v>
      </c>
      <c r="O19" s="24">
        <v>0</v>
      </c>
      <c r="P19" s="24">
        <f t="shared" si="8"/>
        <v>12500</v>
      </c>
      <c r="Q19" s="24">
        <f t="shared" si="13"/>
        <v>28125</v>
      </c>
      <c r="R19" s="30">
        <v>125</v>
      </c>
      <c r="S19" s="22">
        <f t="shared" si="9"/>
        <v>124</v>
      </c>
      <c r="T19" s="26">
        <f t="shared" si="3"/>
        <v>0</v>
      </c>
      <c r="U19" s="26">
        <f t="shared" si="10"/>
        <v>1493</v>
      </c>
      <c r="V19" s="25">
        <f t="shared" si="14"/>
        <v>27731</v>
      </c>
      <c r="W19" s="30">
        <v>15126</v>
      </c>
      <c r="X19" s="21">
        <v>16211</v>
      </c>
      <c r="Y19" s="26">
        <f t="shared" si="11"/>
        <v>2578</v>
      </c>
      <c r="Z19" s="23">
        <v>25</v>
      </c>
      <c r="AA19" s="18" t="s">
        <v>7</v>
      </c>
    </row>
    <row r="20" spans="2:27" ht="18.75" x14ac:dyDescent="0.45">
      <c r="B20" s="33" t="s">
        <v>29</v>
      </c>
      <c r="C20" s="35">
        <v>90</v>
      </c>
      <c r="E20" s="22">
        <f>MAX(T20*$C$14,U20*$C$13)</f>
        <v>1584000</v>
      </c>
      <c r="F20" s="21">
        <f t="shared" si="15"/>
        <v>0</v>
      </c>
      <c r="G20" s="22">
        <f t="shared" si="16"/>
        <v>0</v>
      </c>
      <c r="H20" s="22">
        <f t="shared" si="1"/>
        <v>0</v>
      </c>
      <c r="I20" s="29">
        <f t="shared" si="4"/>
        <v>0</v>
      </c>
      <c r="J20" s="22">
        <f t="shared" si="2"/>
        <v>22025500</v>
      </c>
      <c r="K20" s="22">
        <f t="shared" si="5"/>
        <v>1519</v>
      </c>
      <c r="L20" s="22">
        <f t="shared" si="12"/>
        <v>0</v>
      </c>
      <c r="M20" s="22" t="str">
        <f t="shared" si="6"/>
        <v>کار معمولی</v>
      </c>
      <c r="N20" s="23">
        <f t="shared" si="7"/>
        <v>42250</v>
      </c>
      <c r="O20" s="24">
        <v>0</v>
      </c>
      <c r="P20" s="24">
        <f t="shared" si="8"/>
        <v>13000</v>
      </c>
      <c r="Q20" s="24">
        <f t="shared" si="13"/>
        <v>29250</v>
      </c>
      <c r="R20" s="30">
        <v>125</v>
      </c>
      <c r="S20" s="22">
        <f t="shared" si="9"/>
        <v>119</v>
      </c>
      <c r="T20" s="26">
        <f t="shared" si="3"/>
        <v>0</v>
      </c>
      <c r="U20" s="26">
        <f t="shared" si="10"/>
        <v>99</v>
      </c>
      <c r="V20" s="25">
        <f t="shared" si="14"/>
        <v>27731</v>
      </c>
      <c r="W20" s="30">
        <v>15126</v>
      </c>
      <c r="X20" s="22">
        <v>16520</v>
      </c>
      <c r="Y20" s="22">
        <f t="shared" si="11"/>
        <v>1493</v>
      </c>
      <c r="Z20" s="23">
        <v>26</v>
      </c>
      <c r="AA20" s="17" t="s">
        <v>8</v>
      </c>
    </row>
    <row r="21" spans="2:27" ht="18.75" x14ac:dyDescent="0.45">
      <c r="B21" s="33" t="s">
        <v>36</v>
      </c>
      <c r="C21" s="35">
        <v>170</v>
      </c>
      <c r="E21" s="22">
        <f t="shared" si="0"/>
        <v>64000</v>
      </c>
      <c r="F21" s="21">
        <f t="shared" si="15"/>
        <v>10560000</v>
      </c>
      <c r="G21" s="22">
        <f t="shared" si="16"/>
        <v>187050000</v>
      </c>
      <c r="H21" s="26">
        <f t="shared" si="1"/>
        <v>29</v>
      </c>
      <c r="I21" s="29">
        <f t="shared" si="4"/>
        <v>3906</v>
      </c>
      <c r="J21" s="21">
        <f t="shared" si="2"/>
        <v>0</v>
      </c>
      <c r="K21" s="22">
        <f t="shared" si="5"/>
        <v>0</v>
      </c>
      <c r="L21" s="22">
        <f t="shared" si="12"/>
        <v>242</v>
      </c>
      <c r="M21" s="22" t="str">
        <f t="shared" si="6"/>
        <v>کار معمولی + اضافه کاری</v>
      </c>
      <c r="N21" s="23">
        <f t="shared" si="7"/>
        <v>50050</v>
      </c>
      <c r="O21" s="24">
        <v>0</v>
      </c>
      <c r="P21" s="24">
        <f t="shared" si="8"/>
        <v>15400</v>
      </c>
      <c r="Q21" s="24">
        <f>Z21*$C$22*R21</f>
        <v>34650</v>
      </c>
      <c r="R21" s="30">
        <v>154</v>
      </c>
      <c r="S21" s="22">
        <f t="shared" si="9"/>
        <v>156</v>
      </c>
      <c r="T21" s="26">
        <f t="shared" si="3"/>
        <v>0</v>
      </c>
      <c r="U21" s="26">
        <f t="shared" si="10"/>
        <v>4</v>
      </c>
      <c r="V21" s="25">
        <f>_xlfn.CEILING.MATH(W21*($C$27/60))</f>
        <v>34892</v>
      </c>
      <c r="W21" s="30">
        <v>19032</v>
      </c>
      <c r="X21" s="21">
        <v>19127</v>
      </c>
      <c r="Y21" s="26">
        <f t="shared" si="11"/>
        <v>99</v>
      </c>
      <c r="Z21" s="23">
        <v>25</v>
      </c>
      <c r="AA21" s="18" t="s">
        <v>9</v>
      </c>
    </row>
    <row r="22" spans="2:27" ht="18.75" x14ac:dyDescent="0.45">
      <c r="B22" s="33" t="s">
        <v>28</v>
      </c>
      <c r="C22" s="35">
        <v>9</v>
      </c>
      <c r="E22" s="22">
        <f t="shared" si="0"/>
        <v>67392000</v>
      </c>
      <c r="F22" s="21">
        <f t="shared" si="15"/>
        <v>5061818.1818181816</v>
      </c>
      <c r="G22" s="22">
        <f t="shared" si="16"/>
        <v>90300000</v>
      </c>
      <c r="H22" s="22">
        <f t="shared" si="1"/>
        <v>14</v>
      </c>
      <c r="I22" s="29">
        <f t="shared" si="4"/>
        <v>0</v>
      </c>
      <c r="J22" s="22">
        <f t="shared" si="2"/>
        <v>0</v>
      </c>
      <c r="K22" s="22">
        <f t="shared" si="5"/>
        <v>0</v>
      </c>
      <c r="L22" s="22">
        <f t="shared" si="12"/>
        <v>116</v>
      </c>
      <c r="M22" s="22" t="str">
        <f t="shared" si="6"/>
        <v>کار معمولی + اضافه کاری</v>
      </c>
      <c r="N22" s="23">
        <f t="shared" si="7"/>
        <v>50232</v>
      </c>
      <c r="O22" s="24">
        <v>0</v>
      </c>
      <c r="P22" s="24">
        <f t="shared" si="8"/>
        <v>15456</v>
      </c>
      <c r="Q22" s="24">
        <f t="shared" si="13"/>
        <v>34776</v>
      </c>
      <c r="R22" s="30">
        <v>168</v>
      </c>
      <c r="S22" s="22">
        <f t="shared" si="9"/>
        <v>169</v>
      </c>
      <c r="T22" s="26">
        <f t="shared" si="3"/>
        <v>0</v>
      </c>
      <c r="U22" s="26">
        <f t="shared" si="10"/>
        <v>4212</v>
      </c>
      <c r="V22" s="25">
        <f t="shared" si="14"/>
        <v>34892</v>
      </c>
      <c r="W22" s="30">
        <v>19032</v>
      </c>
      <c r="X22" s="22">
        <v>14824</v>
      </c>
      <c r="Y22" s="22">
        <f t="shared" si="11"/>
        <v>4</v>
      </c>
      <c r="Z22" s="23">
        <v>23</v>
      </c>
      <c r="AA22" s="17" t="s">
        <v>10</v>
      </c>
    </row>
    <row r="23" spans="2:27" ht="18.75" x14ac:dyDescent="0.45">
      <c r="B23" s="33" t="s">
        <v>30</v>
      </c>
      <c r="C23" s="35">
        <v>4</v>
      </c>
      <c r="E23" s="22">
        <f t="shared" si="0"/>
        <v>38400000</v>
      </c>
      <c r="F23" s="21">
        <f t="shared" si="15"/>
        <v>5061818.1818181816</v>
      </c>
      <c r="G23" s="22">
        <f t="shared" si="16"/>
        <v>16100000</v>
      </c>
      <c r="H23" s="26">
        <f t="shared" si="1"/>
        <v>-7</v>
      </c>
      <c r="I23" s="29">
        <f t="shared" si="4"/>
        <v>0</v>
      </c>
      <c r="J23" s="21">
        <f t="shared" si="2"/>
        <v>0</v>
      </c>
      <c r="K23" s="22">
        <f t="shared" si="5"/>
        <v>0</v>
      </c>
      <c r="L23" s="22">
        <f t="shared" si="12"/>
        <v>116</v>
      </c>
      <c r="M23" s="22" t="str">
        <f t="shared" si="6"/>
        <v>کار معمولی + اضافه کاری</v>
      </c>
      <c r="N23" s="23">
        <f t="shared" si="7"/>
        <v>50232</v>
      </c>
      <c r="O23" s="24">
        <v>0</v>
      </c>
      <c r="P23" s="24">
        <f t="shared" si="8"/>
        <v>15456</v>
      </c>
      <c r="Q23" s="24">
        <f t="shared" si="13"/>
        <v>34776</v>
      </c>
      <c r="R23" s="30">
        <v>161</v>
      </c>
      <c r="S23" s="22">
        <f t="shared" si="9"/>
        <v>162</v>
      </c>
      <c r="T23" s="26">
        <f>MAX(0,X23-W23-Y23+T22)</f>
        <v>0</v>
      </c>
      <c r="U23" s="26">
        <f>Y12</f>
        <v>2400</v>
      </c>
      <c r="V23" s="25">
        <f>_xlfn.CEILING.MATH(W23*($C$27/60))</f>
        <v>34892</v>
      </c>
      <c r="W23" s="30">
        <v>19032</v>
      </c>
      <c r="X23" s="21">
        <v>20844</v>
      </c>
      <c r="Y23" s="26">
        <f t="shared" si="11"/>
        <v>4212</v>
      </c>
      <c r="Z23" s="23">
        <v>24</v>
      </c>
      <c r="AA23" s="18" t="s">
        <v>11</v>
      </c>
    </row>
    <row r="24" spans="2:27" x14ac:dyDescent="0.45">
      <c r="B24" s="36" t="s">
        <v>31</v>
      </c>
      <c r="C24" s="35">
        <v>1000</v>
      </c>
      <c r="E24" s="27">
        <f>SUM(E12:E23)</f>
        <v>405440000</v>
      </c>
      <c r="F24" s="27">
        <f t="shared" ref="F24:G24" si="17">SUM(F12:F23)</f>
        <v>140596363.63636366</v>
      </c>
      <c r="G24" s="27">
        <f t="shared" si="17"/>
        <v>565600000</v>
      </c>
      <c r="H24" s="27"/>
      <c r="I24" s="27"/>
      <c r="J24" s="27">
        <f>SUM(J12:J23)</f>
        <v>151626500</v>
      </c>
      <c r="K24" s="27">
        <f>SUM(J12:J23)</f>
        <v>151626500</v>
      </c>
      <c r="L24" s="27">
        <f>SUM(K12:K23)</f>
        <v>10457</v>
      </c>
      <c r="M24" s="27">
        <f>SUM(L12:L23)</f>
        <v>3222</v>
      </c>
      <c r="N24" s="22"/>
      <c r="O24" s="28"/>
      <c r="P24" s="28"/>
      <c r="Q24" s="28"/>
      <c r="R24" s="28"/>
      <c r="S24" s="27"/>
      <c r="T24" s="27"/>
      <c r="U24" s="27"/>
      <c r="V24" s="27"/>
      <c r="W24" s="27">
        <f>SUM(W12:W23)</f>
        <v>185652</v>
      </c>
      <c r="X24" s="27">
        <f>SUM(X12:X23)</f>
        <v>185652</v>
      </c>
      <c r="Y24" s="27"/>
      <c r="Z24" s="27">
        <f>SUM(Z12:Z23)</f>
        <v>288</v>
      </c>
      <c r="AA24" s="27" t="s">
        <v>47</v>
      </c>
    </row>
    <row r="25" spans="2:27" ht="18" customHeight="1" x14ac:dyDescent="0.45">
      <c r="B25" s="36" t="s">
        <v>68</v>
      </c>
      <c r="C25" s="35">
        <v>500</v>
      </c>
      <c r="E25" s="61">
        <f>E24+F24+G24+J24</f>
        <v>1263262863.6363635</v>
      </c>
      <c r="F25" s="61"/>
      <c r="G25" s="61"/>
      <c r="H25" s="61"/>
      <c r="I25" s="61"/>
      <c r="J25" s="63" t="s">
        <v>76</v>
      </c>
      <c r="K25" s="6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>
        <f>AVERAGE(X12:X23)</f>
        <v>15471</v>
      </c>
      <c r="Z25" s="15"/>
      <c r="AA25" s="15"/>
    </row>
    <row r="26" spans="2:27" ht="18.75" customHeight="1" thickBot="1" x14ac:dyDescent="0.5">
      <c r="B26" s="33" t="s">
        <v>38</v>
      </c>
      <c r="C26" s="35">
        <v>0</v>
      </c>
      <c r="E26" s="62"/>
      <c r="F26" s="62"/>
      <c r="G26" s="62"/>
      <c r="H26" s="62"/>
      <c r="I26" s="62"/>
      <c r="J26" s="64"/>
      <c r="K26" s="64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32.25" thickBot="1" x14ac:dyDescent="0.8">
      <c r="B27" s="33" t="s">
        <v>34</v>
      </c>
      <c r="C27" s="35">
        <v>110</v>
      </c>
      <c r="E27" s="41">
        <f>E24/$E$25</f>
        <v>0.32094666254410525</v>
      </c>
      <c r="F27" s="42">
        <f t="shared" ref="F27:G27" si="18">F24/$E$25</f>
        <v>0.11129620578859589</v>
      </c>
      <c r="G27" s="42">
        <f t="shared" si="18"/>
        <v>0.44772946017893134</v>
      </c>
      <c r="H27" s="39"/>
      <c r="I27" s="39"/>
      <c r="J27" s="40">
        <f t="shared" ref="J27" si="19">J24/$E$25</f>
        <v>0.12002767148836764</v>
      </c>
    </row>
    <row r="28" spans="2:27" x14ac:dyDescent="0.45">
      <c r="B28" s="33" t="s">
        <v>35</v>
      </c>
      <c r="C28" s="35">
        <v>133</v>
      </c>
      <c r="E28" s="61">
        <f>W24*C11</f>
        <v>161517240000</v>
      </c>
      <c r="F28" s="61"/>
      <c r="G28" s="61"/>
      <c r="H28" s="61"/>
      <c r="I28" s="61"/>
      <c r="J28" s="63" t="s">
        <v>75</v>
      </c>
      <c r="K28" s="63"/>
      <c r="P28" s="19"/>
    </row>
    <row r="29" spans="2:27" ht="18.75" thickBot="1" x14ac:dyDescent="0.5">
      <c r="B29" s="37" t="s">
        <v>58</v>
      </c>
      <c r="C29" s="38">
        <v>2400</v>
      </c>
      <c r="E29" s="62"/>
      <c r="F29" s="62"/>
      <c r="G29" s="62"/>
      <c r="H29" s="62"/>
      <c r="I29" s="62"/>
      <c r="J29" s="64"/>
      <c r="K29" s="64"/>
    </row>
    <row r="30" spans="2:27" x14ac:dyDescent="0.45">
      <c r="E30" s="61">
        <f>E28+E25</f>
        <v>162780502863.63635</v>
      </c>
      <c r="F30" s="61"/>
      <c r="G30" s="61"/>
      <c r="H30" s="61"/>
      <c r="I30" s="61"/>
      <c r="J30" s="63" t="s">
        <v>47</v>
      </c>
      <c r="K30" s="63"/>
    </row>
    <row r="31" spans="2:27" x14ac:dyDescent="0.45">
      <c r="E31" s="62"/>
      <c r="F31" s="62"/>
      <c r="G31" s="62"/>
      <c r="H31" s="62"/>
      <c r="I31" s="62"/>
      <c r="J31" s="64"/>
      <c r="K31" s="64"/>
    </row>
  </sheetData>
  <sheetProtection algorithmName="SHA-512" hashValue="HhEWd/HBf1qUX0ApmOKvO9L+p3CrKkYMdpPsjpOGpfYNutgBZGyupt2DDweUJQiSwqeC3jBj2g7wXD0OCOokQA==" saltValue="+VaZciiaO9wB/tSBsswzLw==" spinCount="100000" sheet="1" objects="1" scenarios="1"/>
  <mergeCells count="26">
    <mergeCell ref="G7:H7"/>
    <mergeCell ref="E8:E10"/>
    <mergeCell ref="F8:F10"/>
    <mergeCell ref="G8:G10"/>
    <mergeCell ref="H8:H10"/>
    <mergeCell ref="Z8:Z10"/>
    <mergeCell ref="E25:I26"/>
    <mergeCell ref="J25:K26"/>
    <mergeCell ref="P8:P10"/>
    <mergeCell ref="Q8:Q10"/>
    <mergeCell ref="R8:R10"/>
    <mergeCell ref="S8:S10"/>
    <mergeCell ref="T8:T10"/>
    <mergeCell ref="V8:V10"/>
    <mergeCell ref="J8:J10"/>
    <mergeCell ref="K8:K10"/>
    <mergeCell ref="L8:L10"/>
    <mergeCell ref="M8:M10"/>
    <mergeCell ref="N8:N10"/>
    <mergeCell ref="O8:O10"/>
    <mergeCell ref="I8:I10"/>
    <mergeCell ref="E28:I29"/>
    <mergeCell ref="J28:K29"/>
    <mergeCell ref="E30:I31"/>
    <mergeCell ref="J30:K31"/>
    <mergeCell ref="Y8:Y10"/>
  </mergeCells>
  <conditionalFormatting sqref="Q12:Q23">
    <cfRule type="expression" dxfId="94" priority="18">
      <formula>IF(Q12&lt;V12,1,0)</formula>
    </cfRule>
  </conditionalFormatting>
  <conditionalFormatting sqref="N12:N23">
    <cfRule type="expression" dxfId="93" priority="17">
      <formula>IF(N12&gt;V12,1,0)</formula>
    </cfRule>
  </conditionalFormatting>
  <conditionalFormatting sqref="H12:H23">
    <cfRule type="cellIs" dxfId="92" priority="14" operator="lessThan">
      <formula>0</formula>
    </cfRule>
    <cfRule type="cellIs" dxfId="91" priority="16" operator="greaterThan">
      <formula>0</formula>
    </cfRule>
  </conditionalFormatting>
  <conditionalFormatting sqref="G12:G23">
    <cfRule type="expression" dxfId="90" priority="15">
      <formula>IF(H12&lt;0,1,0)</formula>
    </cfRule>
  </conditionalFormatting>
  <conditionalFormatting sqref="H24 G12:G23">
    <cfRule type="expression" dxfId="89" priority="13">
      <formula>IF(H12&gt;0,1,0)</formula>
    </cfRule>
  </conditionalFormatting>
  <conditionalFormatting sqref="H12:H23">
    <cfRule type="expression" dxfId="88" priority="19">
      <formula>IF(J12&lt;0,1,0)</formula>
    </cfRule>
  </conditionalFormatting>
  <conditionalFormatting sqref="I12:I23">
    <cfRule type="cellIs" dxfId="87" priority="1" operator="equal">
      <formula>0</formula>
    </cfRule>
    <cfRule type="cellIs" dxfId="86" priority="12" operator="between">
      <formula>$C$25-1</formula>
      <formula>-$C$25+1</formula>
    </cfRule>
  </conditionalFormatting>
  <conditionalFormatting sqref="T12:T23">
    <cfRule type="cellIs" dxfId="85" priority="11" operator="greaterThan">
      <formula>$C$15</formula>
    </cfRule>
  </conditionalFormatting>
  <conditionalFormatting sqref="U11:U23">
    <cfRule type="cellIs" dxfId="84" priority="10" operator="greaterThan">
      <formula>$C$16</formula>
    </cfRule>
  </conditionalFormatting>
  <conditionalFormatting sqref="Y12:Y23">
    <cfRule type="cellIs" dxfId="83" priority="9" operator="lessThan">
      <formula>$C$26</formula>
    </cfRule>
  </conditionalFormatting>
  <conditionalFormatting sqref="Z12:Z23">
    <cfRule type="cellIs" dxfId="82" priority="8" operator="between">
      <formula>15</formula>
      <formula>28</formula>
    </cfRule>
  </conditionalFormatting>
  <conditionalFormatting sqref="W24:X24">
    <cfRule type="cellIs" dxfId="81" priority="7" operator="notEqual">
      <formula>$X$24</formula>
    </cfRule>
  </conditionalFormatting>
  <conditionalFormatting sqref="V12:V23">
    <cfRule type="expression" dxfId="80" priority="6">
      <formula>IF(N12&lt;V12,1,0)</formula>
    </cfRule>
  </conditionalFormatting>
  <conditionalFormatting sqref="E12:E23">
    <cfRule type="expression" dxfId="79" priority="4">
      <formula>IF(U12&gt;0,1,0)</formula>
    </cfRule>
    <cfRule type="expression" dxfId="78" priority="5">
      <formula>IF(T12&gt;0,1,0)</formula>
    </cfRule>
  </conditionalFormatting>
  <conditionalFormatting sqref="F12:F23">
    <cfRule type="cellIs" dxfId="77" priority="3" operator="greaterThan">
      <formula>0</formula>
    </cfRule>
  </conditionalFormatting>
  <conditionalFormatting sqref="J12:J23">
    <cfRule type="cellIs" dxfId="76" priority="2" operator="greaterThan">
      <formula>0</formula>
    </cfRule>
  </conditionalFormatting>
  <dataValidations count="1">
    <dataValidation type="whole" allowBlank="1" showInputMessage="1" showErrorMessage="1" sqref="R12:R23" xr:uid="{00000000-0002-0000-0400-000000000000}">
      <formula1>$C$20</formula1>
      <formula2>$C$21</formula2>
    </dataValidation>
  </dataValidation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AE31"/>
  <sheetViews>
    <sheetView showGridLines="0" topLeftCell="I1" zoomScale="70" zoomScaleNormal="70" workbookViewId="0"/>
  </sheetViews>
  <sheetFormatPr defaultColWidth="9.625" defaultRowHeight="18" x14ac:dyDescent="0.45"/>
  <cols>
    <col min="1" max="1" width="9.625" style="14" customWidth="1"/>
    <col min="2" max="2" width="25.5" style="14" bestFit="1" customWidth="1"/>
    <col min="3" max="3" width="16.125" style="14" bestFit="1" customWidth="1"/>
    <col min="4" max="4" width="9.625" style="14"/>
    <col min="5" max="7" width="14.875" style="14" bestFit="1" customWidth="1"/>
    <col min="8" max="8" width="11.375" style="14" bestFit="1" customWidth="1"/>
    <col min="9" max="9" width="8" style="14" bestFit="1" customWidth="1"/>
    <col min="10" max="10" width="14.875" style="14" bestFit="1" customWidth="1"/>
    <col min="11" max="11" width="17.625" style="14" bestFit="1" customWidth="1"/>
    <col min="12" max="12" width="14.875" style="14" bestFit="1" customWidth="1"/>
    <col min="13" max="13" width="20.125" style="14" bestFit="1" customWidth="1"/>
    <col min="14" max="14" width="16.375" style="14" bestFit="1" customWidth="1"/>
    <col min="15" max="15" width="21.125" style="14" bestFit="1" customWidth="1"/>
    <col min="16" max="16" width="22" style="14" bestFit="1" customWidth="1"/>
    <col min="17" max="17" width="23.875" style="14" bestFit="1" customWidth="1"/>
    <col min="18" max="18" width="14.25" style="14" bestFit="1" customWidth="1"/>
    <col min="19" max="19" width="11.75" style="14" bestFit="1" customWidth="1"/>
    <col min="20" max="20" width="6.125" style="14" bestFit="1" customWidth="1"/>
    <col min="21" max="21" width="9.5" style="14" bestFit="1" customWidth="1"/>
    <col min="22" max="22" width="12.625" style="14" bestFit="1" customWidth="1"/>
    <col min="23" max="24" width="10.5" style="14" bestFit="1" customWidth="1"/>
    <col min="25" max="25" width="9.5" style="14" bestFit="1" customWidth="1"/>
    <col min="26" max="26" width="10.5" style="14" bestFit="1" customWidth="1"/>
    <col min="27" max="27" width="12" style="14" bestFit="1" customWidth="1"/>
    <col min="28" max="16384" width="9.625" style="14"/>
  </cols>
  <sheetData>
    <row r="1" spans="1:31" customFormat="1" ht="39.75" customHeight="1" x14ac:dyDescent="0.2">
      <c r="A1" s="51" t="str">
        <f>"                     ‌Production Planning  (Saya Oven Toaster (پارس خزر))       -     "</f>
        <v xml:space="preserve">                     ‌Production Planning  (Saya Oven Toaster (پارس خزر))       -     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3" spans="1:31" x14ac:dyDescent="0.45"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31" x14ac:dyDescent="0.45"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31" x14ac:dyDescent="0.45">
      <c r="K5" s="71"/>
      <c r="L5" s="71"/>
      <c r="M5" s="71"/>
      <c r="N5" s="71"/>
      <c r="O5" s="71"/>
      <c r="P5" s="71"/>
      <c r="Q5" s="71"/>
      <c r="R5" s="71"/>
      <c r="S5" s="71"/>
      <c r="T5" s="71"/>
    </row>
    <row r="7" spans="1:31" x14ac:dyDescent="0.45">
      <c r="G7" s="70" t="s">
        <v>66</v>
      </c>
      <c r="H7" s="70"/>
    </row>
    <row r="8" spans="1:31" ht="36.75" thickBot="1" x14ac:dyDescent="0.5">
      <c r="E8" s="65" t="s">
        <v>71</v>
      </c>
      <c r="F8" s="65" t="s">
        <v>72</v>
      </c>
      <c r="G8" s="65" t="s">
        <v>67</v>
      </c>
      <c r="H8" s="65" t="s">
        <v>16</v>
      </c>
      <c r="I8" s="65" t="s">
        <v>69</v>
      </c>
      <c r="J8" s="65" t="s">
        <v>45</v>
      </c>
      <c r="K8" s="65" t="s">
        <v>44</v>
      </c>
      <c r="L8" s="65" t="s">
        <v>42</v>
      </c>
      <c r="M8" s="65" t="s">
        <v>65</v>
      </c>
      <c r="N8" s="69" t="s">
        <v>64</v>
      </c>
      <c r="O8" s="69" t="s">
        <v>63</v>
      </c>
      <c r="P8" s="69" t="s">
        <v>62</v>
      </c>
      <c r="Q8" s="69" t="s">
        <v>61</v>
      </c>
      <c r="R8" s="68" t="s">
        <v>54</v>
      </c>
      <c r="S8" s="65" t="s">
        <v>15</v>
      </c>
      <c r="T8" s="65" t="s">
        <v>41</v>
      </c>
      <c r="U8" s="44" t="s">
        <v>14</v>
      </c>
      <c r="V8" s="65" t="s">
        <v>60</v>
      </c>
      <c r="W8" s="44" t="s">
        <v>13</v>
      </c>
      <c r="X8" s="44" t="s">
        <v>40</v>
      </c>
      <c r="Y8" s="65" t="s">
        <v>12</v>
      </c>
      <c r="Z8" s="65" t="s">
        <v>39</v>
      </c>
      <c r="AA8" s="44" t="s">
        <v>48</v>
      </c>
    </row>
    <row r="9" spans="1:31" x14ac:dyDescent="0.45">
      <c r="B9" s="31" t="s">
        <v>57</v>
      </c>
      <c r="C9" s="32" t="s">
        <v>37</v>
      </c>
      <c r="E9" s="66"/>
      <c r="F9" s="66"/>
      <c r="G9" s="66"/>
      <c r="H9" s="66"/>
      <c r="I9" s="66"/>
      <c r="J9" s="66"/>
      <c r="K9" s="66"/>
      <c r="L9" s="66"/>
      <c r="M9" s="66"/>
      <c r="N9" s="69"/>
      <c r="O9" s="69"/>
      <c r="P9" s="69"/>
      <c r="Q9" s="69"/>
      <c r="R9" s="68"/>
      <c r="S9" s="66"/>
      <c r="T9" s="66"/>
      <c r="U9" s="45"/>
      <c r="V9" s="66"/>
      <c r="W9" s="45"/>
      <c r="X9" s="45"/>
      <c r="Y9" s="66"/>
      <c r="Z9" s="66"/>
      <c r="AA9" s="45"/>
    </row>
    <row r="10" spans="1:31" x14ac:dyDescent="0.45">
      <c r="B10" s="33" t="s">
        <v>56</v>
      </c>
      <c r="C10" s="34">
        <f>C12-C11</f>
        <v>80000</v>
      </c>
      <c r="E10" s="67"/>
      <c r="F10" s="67"/>
      <c r="G10" s="67"/>
      <c r="H10" s="67"/>
      <c r="I10" s="67"/>
      <c r="J10" s="67"/>
      <c r="K10" s="67"/>
      <c r="L10" s="67"/>
      <c r="M10" s="67"/>
      <c r="N10" s="69"/>
      <c r="O10" s="69"/>
      <c r="P10" s="69"/>
      <c r="Q10" s="69"/>
      <c r="R10" s="68"/>
      <c r="S10" s="67"/>
      <c r="T10" s="67"/>
      <c r="U10" s="46"/>
      <c r="V10" s="67"/>
      <c r="W10" s="46"/>
      <c r="X10" s="46"/>
      <c r="Y10" s="67"/>
      <c r="Z10" s="67"/>
      <c r="AA10" s="46"/>
    </row>
    <row r="11" spans="1:31" x14ac:dyDescent="0.45">
      <c r="B11" s="33" t="s">
        <v>22</v>
      </c>
      <c r="C11" s="35">
        <v>870000</v>
      </c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1"/>
      <c r="P11" s="21"/>
      <c r="Q11" s="21"/>
      <c r="R11" s="21">
        <f>ROUNDUP(AVERAGE(S12:S23),0)</f>
        <v>133</v>
      </c>
      <c r="S11" s="21"/>
      <c r="T11" s="20"/>
      <c r="U11" s="20"/>
      <c r="V11" s="20"/>
      <c r="W11" s="20">
        <f>X24/12</f>
        <v>15471</v>
      </c>
      <c r="X11" s="20"/>
      <c r="Y11" s="20"/>
      <c r="Z11" s="20"/>
      <c r="AA11" s="16"/>
    </row>
    <row r="12" spans="1:31" ht="18.75" x14ac:dyDescent="0.45">
      <c r="B12" s="33" t="s">
        <v>23</v>
      </c>
      <c r="C12" s="35">
        <v>950000</v>
      </c>
      <c r="E12" s="22">
        <f t="shared" ref="E12:E23" si="0">MAX(T12*$C$14,U12*$C$13)</f>
        <v>50208000</v>
      </c>
      <c r="F12" s="21">
        <f>L12*(60/$C$27)*$C$10</f>
        <v>106996363.63636363</v>
      </c>
      <c r="G12" s="22">
        <f>IF(H12&gt;=0,H12*$C$18,ABS(H12*$C$19))</f>
        <v>58050000</v>
      </c>
      <c r="H12" s="22">
        <f t="shared" ref="H12:H23" si="1">R12-R11</f>
        <v>9</v>
      </c>
      <c r="I12" s="29">
        <f>W12-W11</f>
        <v>505</v>
      </c>
      <c r="J12" s="22">
        <f t="shared" ref="J12:J23" si="2">K12*$C$17</f>
        <v>0</v>
      </c>
      <c r="K12" s="22">
        <f>MAX(0,Q12-V12)</f>
        <v>0</v>
      </c>
      <c r="L12" s="22">
        <f>MIN(MAX(0,V12-Q12),P12)</f>
        <v>2452</v>
      </c>
      <c r="M12" s="22" t="str">
        <f>IF(V12&lt;Q12,"کار معمولی",IF(V12&lt;Q12+P12,"کار معمولی + اضافه کاری","کار معمولی، اضافه‌کاری و پیمانکاری"))</f>
        <v>کار معمولی + اضافه کاری</v>
      </c>
      <c r="N12" s="23">
        <f>O12+P12+Q12</f>
        <v>38766</v>
      </c>
      <c r="O12" s="24">
        <v>0</v>
      </c>
      <c r="P12" s="24">
        <f>Z12*$C$23*R12</f>
        <v>11928</v>
      </c>
      <c r="Q12" s="24">
        <f>Z12*$C$22*R12</f>
        <v>26838</v>
      </c>
      <c r="R12" s="30">
        <v>142</v>
      </c>
      <c r="S12" s="22">
        <f>MIN(_xlfn.CEILING.MATH(V12/(Z12*$C$22)),$C$21)</f>
        <v>155</v>
      </c>
      <c r="T12" s="26">
        <f t="shared" ref="T12:T22" si="3">MAX(0,X12-W12-Y12+T11)</f>
        <v>0</v>
      </c>
      <c r="U12" s="26">
        <f>MAX(0,W12-X12+Y12-T11)</f>
        <v>3138</v>
      </c>
      <c r="V12" s="25">
        <f>_xlfn.CEILING.MATH(W12*($C$27/60))</f>
        <v>29290</v>
      </c>
      <c r="W12" s="30">
        <v>15976</v>
      </c>
      <c r="X12" s="22">
        <v>15238</v>
      </c>
      <c r="Y12" s="22">
        <f>C29</f>
        <v>2400</v>
      </c>
      <c r="Z12" s="23">
        <v>21</v>
      </c>
      <c r="AA12" s="17" t="s">
        <v>0</v>
      </c>
    </row>
    <row r="13" spans="1:31" ht="18.75" x14ac:dyDescent="0.45">
      <c r="B13" s="33" t="s">
        <v>59</v>
      </c>
      <c r="C13" s="35">
        <v>16000</v>
      </c>
      <c r="E13" s="22">
        <f t="shared" si="0"/>
        <v>15344000</v>
      </c>
      <c r="F13" s="21">
        <f>L13*(60/$C$27)*$C$10</f>
        <v>0</v>
      </c>
      <c r="G13" s="22">
        <f>IF(H13&gt;=0,H13*$C$18,ABS(H13*$C$19))</f>
        <v>0</v>
      </c>
      <c r="H13" s="26">
        <f t="shared" si="1"/>
        <v>0</v>
      </c>
      <c r="I13" s="29">
        <f t="shared" ref="I13:I23" si="4">W13-W12</f>
        <v>0</v>
      </c>
      <c r="J13" s="21">
        <f t="shared" si="2"/>
        <v>1508000</v>
      </c>
      <c r="K13" s="22">
        <f t="shared" ref="K13:K23" si="5">MAX(0,Q13-V13)</f>
        <v>104</v>
      </c>
      <c r="L13" s="22">
        <f>MIN(MAX(0,V13-Q13),P13)</f>
        <v>0</v>
      </c>
      <c r="M13" s="22" t="str">
        <f t="shared" ref="M13:M23" si="6">IF(V13&lt;Q13,"کار معمولی",IF(V13&lt;Q13+P13,"کار معمولی + اضافه کاری","کار معمولی، اضافه‌کاری و پیمانکاری"))</f>
        <v>کار معمولی</v>
      </c>
      <c r="N13" s="23">
        <f t="shared" ref="N13:N23" si="7">O13+P13+Q13</f>
        <v>42458</v>
      </c>
      <c r="O13" s="24">
        <v>0</v>
      </c>
      <c r="P13" s="24">
        <f t="shared" ref="P13:P23" si="8">Z13*$C$23*R13</f>
        <v>13064</v>
      </c>
      <c r="Q13" s="24">
        <f>Z13*$C$22*R13</f>
        <v>29394</v>
      </c>
      <c r="R13" s="30">
        <v>142</v>
      </c>
      <c r="S13" s="22">
        <f t="shared" ref="S13:S23" si="9">MIN(_xlfn.CEILING.MATH(V13/(Z13*$C$22)),$C$21)</f>
        <v>142</v>
      </c>
      <c r="T13" s="26">
        <f t="shared" si="3"/>
        <v>0</v>
      </c>
      <c r="U13" s="26">
        <f t="shared" ref="U13:U22" si="10">MAX(0,W13-X13+Y13-T12)</f>
        <v>959</v>
      </c>
      <c r="V13" s="25">
        <f>_xlfn.CEILING.MATH(W13*($C$27/60))</f>
        <v>29290</v>
      </c>
      <c r="W13" s="30">
        <v>15976</v>
      </c>
      <c r="X13" s="21">
        <v>18155</v>
      </c>
      <c r="Y13" s="26">
        <f t="shared" ref="Y13:Y23" si="11">U12</f>
        <v>3138</v>
      </c>
      <c r="Z13" s="23">
        <v>23</v>
      </c>
      <c r="AA13" s="18" t="s">
        <v>1</v>
      </c>
    </row>
    <row r="14" spans="1:31" ht="18.75" x14ac:dyDescent="0.45">
      <c r="B14" s="33" t="s">
        <v>25</v>
      </c>
      <c r="C14" s="35">
        <v>255000</v>
      </c>
      <c r="E14" s="22">
        <f t="shared" si="0"/>
        <v>27872000</v>
      </c>
      <c r="F14" s="21">
        <f>L14*(60/$C$27)*$C$10</f>
        <v>0</v>
      </c>
      <c r="G14" s="22">
        <f>IF(H14&gt;=0,H14*$C$18,ABS(H14*$C$19))</f>
        <v>16100000</v>
      </c>
      <c r="H14" s="22">
        <f t="shared" si="1"/>
        <v>-7</v>
      </c>
      <c r="I14" s="29">
        <f>W14-W13</f>
        <v>-4010</v>
      </c>
      <c r="J14" s="22">
        <f>K14*$C$17</f>
        <v>104719000</v>
      </c>
      <c r="K14" s="22">
        <f t="shared" si="5"/>
        <v>7222</v>
      </c>
      <c r="L14" s="22">
        <f t="shared" ref="L14:L23" si="12">MIN(MAX(0,V14-Q14),P14)</f>
        <v>0</v>
      </c>
      <c r="M14" s="22" t="str">
        <f t="shared" si="6"/>
        <v>کار معمولی</v>
      </c>
      <c r="N14" s="23">
        <f t="shared" si="7"/>
        <v>42120</v>
      </c>
      <c r="O14" s="24">
        <v>0</v>
      </c>
      <c r="P14" s="24">
        <f t="shared" si="8"/>
        <v>12960</v>
      </c>
      <c r="Q14" s="24">
        <f t="shared" ref="Q14:Q23" si="13">Z14*$C$22*R14</f>
        <v>29160</v>
      </c>
      <c r="R14" s="30">
        <v>135</v>
      </c>
      <c r="S14" s="22">
        <f t="shared" si="9"/>
        <v>102</v>
      </c>
      <c r="T14" s="26">
        <f t="shared" si="3"/>
        <v>0</v>
      </c>
      <c r="U14" s="26">
        <f t="shared" si="10"/>
        <v>1742</v>
      </c>
      <c r="V14" s="25">
        <f t="shared" ref="V14:V22" si="14">_xlfn.CEILING.MATH(W14*($C$27/60))</f>
        <v>21938</v>
      </c>
      <c r="W14" s="30">
        <v>11966</v>
      </c>
      <c r="X14" s="22">
        <v>11183</v>
      </c>
      <c r="Y14" s="22">
        <f t="shared" si="11"/>
        <v>959</v>
      </c>
      <c r="Z14" s="23">
        <v>24</v>
      </c>
      <c r="AA14" s="17" t="s">
        <v>2</v>
      </c>
    </row>
    <row r="15" spans="1:31" ht="18.75" x14ac:dyDescent="0.45">
      <c r="B15" s="36" t="s">
        <v>32</v>
      </c>
      <c r="C15" s="35">
        <v>1000</v>
      </c>
      <c r="E15" s="22">
        <f t="shared" si="0"/>
        <v>14080000</v>
      </c>
      <c r="F15" s="21">
        <f t="shared" ref="F15:F23" si="15">L15*(60/$C$27)*$C$10</f>
        <v>0</v>
      </c>
      <c r="G15" s="22">
        <f t="shared" ref="G15:G23" si="16">IF(H15&gt;=0,H15*$C$18,ABS(H15*$C$19))</f>
        <v>0</v>
      </c>
      <c r="H15" s="26">
        <f t="shared" si="1"/>
        <v>0</v>
      </c>
      <c r="I15" s="29">
        <f>W15-W14</f>
        <v>0</v>
      </c>
      <c r="J15" s="21">
        <f>K15*$C$17</f>
        <v>139954000</v>
      </c>
      <c r="K15" s="22">
        <f t="shared" si="5"/>
        <v>9652</v>
      </c>
      <c r="L15" s="22">
        <f t="shared" si="12"/>
        <v>0</v>
      </c>
      <c r="M15" s="22" t="str">
        <f t="shared" si="6"/>
        <v>کار معمولی</v>
      </c>
      <c r="N15" s="23">
        <f t="shared" si="7"/>
        <v>45630</v>
      </c>
      <c r="O15" s="24">
        <v>0</v>
      </c>
      <c r="P15" s="24">
        <f t="shared" si="8"/>
        <v>14040</v>
      </c>
      <c r="Q15" s="24">
        <f t="shared" si="13"/>
        <v>31590</v>
      </c>
      <c r="R15" s="30">
        <v>135</v>
      </c>
      <c r="S15" s="22">
        <f t="shared" si="9"/>
        <v>94</v>
      </c>
      <c r="T15" s="26">
        <f t="shared" si="3"/>
        <v>0</v>
      </c>
      <c r="U15" s="26">
        <f t="shared" si="10"/>
        <v>880</v>
      </c>
      <c r="V15" s="25">
        <f>_xlfn.CEILING.MATH(W15*($C$27/60))</f>
        <v>21938</v>
      </c>
      <c r="W15" s="30">
        <v>11966</v>
      </c>
      <c r="X15" s="21">
        <v>12828</v>
      </c>
      <c r="Y15" s="26">
        <f t="shared" si="11"/>
        <v>1742</v>
      </c>
      <c r="Z15" s="23">
        <v>26</v>
      </c>
      <c r="AA15" s="18" t="s">
        <v>3</v>
      </c>
    </row>
    <row r="16" spans="1:31" ht="18.75" x14ac:dyDescent="0.45">
      <c r="B16" s="33" t="s">
        <v>70</v>
      </c>
      <c r="C16" s="35">
        <v>10000</v>
      </c>
      <c r="E16" s="22">
        <f t="shared" si="0"/>
        <v>4704000</v>
      </c>
      <c r="F16" s="21">
        <f>L16*(60/$C$27)*$C$10</f>
        <v>20596363.636363637</v>
      </c>
      <c r="G16" s="22">
        <f t="shared" si="16"/>
        <v>0</v>
      </c>
      <c r="H16" s="22">
        <f t="shared" si="1"/>
        <v>0</v>
      </c>
      <c r="I16" s="29">
        <f t="shared" si="4"/>
        <v>3534</v>
      </c>
      <c r="J16" s="22">
        <f t="shared" si="2"/>
        <v>0</v>
      </c>
      <c r="K16" s="22">
        <f>MAX(0,Q16-V16)</f>
        <v>0</v>
      </c>
      <c r="L16" s="22">
        <f>MIN(MAX(0,V16-Q16),P16)</f>
        <v>472</v>
      </c>
      <c r="M16" s="22" t="str">
        <f>IF(V16&lt;Q16,"کار معمولی",IF(V16&lt;Q16+P16,"کار معمولی + اضافه کاری","کار معمولی، اضافه‌کاری و پیمانکاری"))</f>
        <v>کار معمولی + اضافه کاری</v>
      </c>
      <c r="N16" s="23">
        <f>O16+P16+Q16</f>
        <v>40365</v>
      </c>
      <c r="O16" s="24">
        <v>0</v>
      </c>
      <c r="P16" s="24">
        <f>Z16*$C$23*R16</f>
        <v>12420</v>
      </c>
      <c r="Q16" s="24">
        <f>Z16*$C$22*R16</f>
        <v>27945</v>
      </c>
      <c r="R16" s="30">
        <v>135</v>
      </c>
      <c r="S16" s="22">
        <f>MIN(_xlfn.CEILING.MATH(V16/(Z16*$C$22)),$C$21)</f>
        <v>138</v>
      </c>
      <c r="T16" s="26">
        <f>MAX(0,X16-W16-Y16+T15)</f>
        <v>0</v>
      </c>
      <c r="U16" s="26">
        <f t="shared" si="10"/>
        <v>294</v>
      </c>
      <c r="V16" s="25">
        <f>_xlfn.CEILING.MATH(W16*($C$27/60))</f>
        <v>28417</v>
      </c>
      <c r="W16" s="30">
        <v>15500</v>
      </c>
      <c r="X16" s="22">
        <v>16086</v>
      </c>
      <c r="Y16" s="22">
        <f t="shared" si="11"/>
        <v>880</v>
      </c>
      <c r="Z16" s="23">
        <v>23</v>
      </c>
      <c r="AA16" s="17" t="s">
        <v>4</v>
      </c>
    </row>
    <row r="17" spans="2:27" ht="18.75" x14ac:dyDescent="0.45">
      <c r="B17" s="33" t="s">
        <v>46</v>
      </c>
      <c r="C17" s="35">
        <v>14500</v>
      </c>
      <c r="E17" s="22">
        <f t="shared" si="0"/>
        <v>30192000</v>
      </c>
      <c r="F17" s="21">
        <f t="shared" si="15"/>
        <v>0</v>
      </c>
      <c r="G17" s="22">
        <f t="shared" si="16"/>
        <v>18400000</v>
      </c>
      <c r="H17" s="26">
        <f t="shared" si="1"/>
        <v>-8</v>
      </c>
      <c r="I17" s="29">
        <f t="shared" si="4"/>
        <v>0</v>
      </c>
      <c r="J17" s="21">
        <f t="shared" si="2"/>
        <v>35438000</v>
      </c>
      <c r="K17" s="22">
        <f t="shared" si="5"/>
        <v>2444</v>
      </c>
      <c r="L17" s="22">
        <f t="shared" si="12"/>
        <v>0</v>
      </c>
      <c r="M17" s="22" t="str">
        <f t="shared" si="6"/>
        <v>کار معمولی</v>
      </c>
      <c r="N17" s="23">
        <f t="shared" si="7"/>
        <v>44577</v>
      </c>
      <c r="O17" s="24">
        <v>0</v>
      </c>
      <c r="P17" s="24">
        <f t="shared" si="8"/>
        <v>13716</v>
      </c>
      <c r="Q17" s="24">
        <f t="shared" si="13"/>
        <v>30861</v>
      </c>
      <c r="R17" s="30">
        <v>127</v>
      </c>
      <c r="S17" s="22">
        <f t="shared" si="9"/>
        <v>117</v>
      </c>
      <c r="T17" s="26">
        <f t="shared" si="3"/>
        <v>0</v>
      </c>
      <c r="U17" s="26">
        <f t="shared" si="10"/>
        <v>1887</v>
      </c>
      <c r="V17" s="25">
        <f t="shared" si="14"/>
        <v>28417</v>
      </c>
      <c r="W17" s="30">
        <v>15500</v>
      </c>
      <c r="X17" s="21">
        <v>13907</v>
      </c>
      <c r="Y17" s="26">
        <f t="shared" si="11"/>
        <v>294</v>
      </c>
      <c r="Z17" s="23">
        <v>27</v>
      </c>
      <c r="AA17" s="18" t="s">
        <v>5</v>
      </c>
    </row>
    <row r="18" spans="2:27" ht="18.75" x14ac:dyDescent="0.45">
      <c r="B18" s="33" t="s">
        <v>26</v>
      </c>
      <c r="C18" s="35">
        <v>6450000</v>
      </c>
      <c r="E18" s="22">
        <f t="shared" si="0"/>
        <v>64928000</v>
      </c>
      <c r="F18" s="21">
        <f t="shared" si="15"/>
        <v>0</v>
      </c>
      <c r="G18" s="22">
        <f t="shared" si="16"/>
        <v>0</v>
      </c>
      <c r="H18" s="22">
        <f t="shared" si="1"/>
        <v>0</v>
      </c>
      <c r="I18" s="29">
        <f t="shared" si="4"/>
        <v>-2600</v>
      </c>
      <c r="J18" s="22">
        <f t="shared" si="2"/>
        <v>5118500</v>
      </c>
      <c r="K18" s="22">
        <f t="shared" si="5"/>
        <v>353</v>
      </c>
      <c r="L18" s="22">
        <f t="shared" si="12"/>
        <v>0</v>
      </c>
      <c r="M18" s="22" t="str">
        <f t="shared" si="6"/>
        <v>کار معمولی</v>
      </c>
      <c r="N18" s="23">
        <f t="shared" si="7"/>
        <v>34671</v>
      </c>
      <c r="O18" s="24">
        <v>0</v>
      </c>
      <c r="P18" s="24">
        <f t="shared" si="8"/>
        <v>10668</v>
      </c>
      <c r="Q18" s="24">
        <f t="shared" si="13"/>
        <v>24003</v>
      </c>
      <c r="R18" s="30">
        <v>127</v>
      </c>
      <c r="S18" s="22">
        <f t="shared" si="9"/>
        <v>126</v>
      </c>
      <c r="T18" s="26">
        <f t="shared" si="3"/>
        <v>0</v>
      </c>
      <c r="U18" s="26">
        <f t="shared" si="10"/>
        <v>4058</v>
      </c>
      <c r="V18" s="25">
        <f t="shared" si="14"/>
        <v>23650</v>
      </c>
      <c r="W18" s="30">
        <v>12900</v>
      </c>
      <c r="X18" s="22">
        <v>10729</v>
      </c>
      <c r="Y18" s="22">
        <f t="shared" si="11"/>
        <v>1887</v>
      </c>
      <c r="Z18" s="23">
        <v>21</v>
      </c>
      <c r="AA18" s="17" t="s">
        <v>6</v>
      </c>
    </row>
    <row r="19" spans="2:27" ht="18.75" x14ac:dyDescent="0.45">
      <c r="B19" s="33" t="s">
        <v>27</v>
      </c>
      <c r="C19" s="35">
        <v>2300000</v>
      </c>
      <c r="E19" s="22">
        <f t="shared" si="0"/>
        <v>11952000</v>
      </c>
      <c r="F19" s="21">
        <f t="shared" si="15"/>
        <v>0</v>
      </c>
      <c r="G19" s="22">
        <f t="shared" si="16"/>
        <v>0</v>
      </c>
      <c r="H19" s="26">
        <f t="shared" si="1"/>
        <v>0</v>
      </c>
      <c r="I19" s="29">
        <f t="shared" si="4"/>
        <v>0</v>
      </c>
      <c r="J19" s="21">
        <f t="shared" si="2"/>
        <v>71412500</v>
      </c>
      <c r="K19" s="22">
        <f t="shared" si="5"/>
        <v>4925</v>
      </c>
      <c r="L19" s="22">
        <f t="shared" si="12"/>
        <v>0</v>
      </c>
      <c r="M19" s="22" t="str">
        <f t="shared" si="6"/>
        <v>کار معمولی</v>
      </c>
      <c r="N19" s="23">
        <f t="shared" si="7"/>
        <v>41275</v>
      </c>
      <c r="O19" s="24">
        <v>0</v>
      </c>
      <c r="P19" s="24">
        <f t="shared" si="8"/>
        <v>12700</v>
      </c>
      <c r="Q19" s="24">
        <f t="shared" si="13"/>
        <v>28575</v>
      </c>
      <c r="R19" s="30">
        <v>127</v>
      </c>
      <c r="S19" s="22">
        <f t="shared" si="9"/>
        <v>106</v>
      </c>
      <c r="T19" s="26">
        <f t="shared" si="3"/>
        <v>0</v>
      </c>
      <c r="U19" s="26">
        <f t="shared" si="10"/>
        <v>747</v>
      </c>
      <c r="V19" s="25">
        <f t="shared" si="14"/>
        <v>23650</v>
      </c>
      <c r="W19" s="30">
        <v>12900</v>
      </c>
      <c r="X19" s="21">
        <v>16211</v>
      </c>
      <c r="Y19" s="26">
        <f t="shared" si="11"/>
        <v>4058</v>
      </c>
      <c r="Z19" s="23">
        <v>25</v>
      </c>
      <c r="AA19" s="18" t="s">
        <v>7</v>
      </c>
    </row>
    <row r="20" spans="2:27" ht="18.75" x14ac:dyDescent="0.45">
      <c r="B20" s="33" t="s">
        <v>29</v>
      </c>
      <c r="C20" s="35">
        <v>90</v>
      </c>
      <c r="E20" s="22">
        <f>MAX(T20*$C$14,U20*$C$13)</f>
        <v>3632000</v>
      </c>
      <c r="F20" s="21">
        <f t="shared" si="15"/>
        <v>0</v>
      </c>
      <c r="G20" s="22">
        <f t="shared" si="16"/>
        <v>0</v>
      </c>
      <c r="H20" s="22">
        <f t="shared" si="1"/>
        <v>0</v>
      </c>
      <c r="I20" s="29">
        <f t="shared" si="4"/>
        <v>3100</v>
      </c>
      <c r="J20" s="22">
        <f t="shared" si="2"/>
        <v>5568000</v>
      </c>
      <c r="K20" s="22">
        <f t="shared" si="5"/>
        <v>384</v>
      </c>
      <c r="L20" s="22">
        <f t="shared" si="12"/>
        <v>0</v>
      </c>
      <c r="M20" s="22" t="str">
        <f t="shared" si="6"/>
        <v>کار معمولی</v>
      </c>
      <c r="N20" s="23">
        <f t="shared" si="7"/>
        <v>42926</v>
      </c>
      <c r="O20" s="24">
        <v>0</v>
      </c>
      <c r="P20" s="24">
        <f t="shared" si="8"/>
        <v>13208</v>
      </c>
      <c r="Q20" s="24">
        <f t="shared" si="13"/>
        <v>29718</v>
      </c>
      <c r="R20" s="30">
        <v>127</v>
      </c>
      <c r="S20" s="22">
        <f t="shared" si="9"/>
        <v>126</v>
      </c>
      <c r="T20" s="26">
        <f t="shared" si="3"/>
        <v>0</v>
      </c>
      <c r="U20" s="26">
        <f t="shared" si="10"/>
        <v>227</v>
      </c>
      <c r="V20" s="25">
        <f t="shared" si="14"/>
        <v>29334</v>
      </c>
      <c r="W20" s="30">
        <v>16000</v>
      </c>
      <c r="X20" s="22">
        <v>16520</v>
      </c>
      <c r="Y20" s="22">
        <f t="shared" si="11"/>
        <v>747</v>
      </c>
      <c r="Z20" s="23">
        <v>26</v>
      </c>
      <c r="AA20" s="17" t="s">
        <v>8</v>
      </c>
    </row>
    <row r="21" spans="2:27" ht="18.75" x14ac:dyDescent="0.45">
      <c r="B21" s="33" t="s">
        <v>36</v>
      </c>
      <c r="C21" s="35">
        <v>170</v>
      </c>
      <c r="E21" s="22">
        <f t="shared" si="0"/>
        <v>0</v>
      </c>
      <c r="F21" s="21">
        <f t="shared" si="15"/>
        <v>0</v>
      </c>
      <c r="G21" s="22">
        <f t="shared" si="16"/>
        <v>180600000</v>
      </c>
      <c r="H21" s="26">
        <f t="shared" si="1"/>
        <v>28</v>
      </c>
      <c r="I21" s="29">
        <f t="shared" si="4"/>
        <v>2900</v>
      </c>
      <c r="J21" s="21">
        <f t="shared" si="2"/>
        <v>3262500</v>
      </c>
      <c r="K21" s="22">
        <f t="shared" si="5"/>
        <v>225</v>
      </c>
      <c r="L21" s="22">
        <f t="shared" si="12"/>
        <v>0</v>
      </c>
      <c r="M21" s="22" t="str">
        <f t="shared" si="6"/>
        <v>کار معمولی</v>
      </c>
      <c r="N21" s="23">
        <f t="shared" si="7"/>
        <v>50375</v>
      </c>
      <c r="O21" s="24">
        <v>0</v>
      </c>
      <c r="P21" s="24">
        <f t="shared" si="8"/>
        <v>15500</v>
      </c>
      <c r="Q21" s="24">
        <f>Z21*$C$22*R21</f>
        <v>34875</v>
      </c>
      <c r="R21" s="30">
        <v>155</v>
      </c>
      <c r="S21" s="22">
        <f t="shared" si="9"/>
        <v>154</v>
      </c>
      <c r="T21" s="26">
        <f t="shared" si="3"/>
        <v>0</v>
      </c>
      <c r="U21" s="26">
        <f t="shared" si="10"/>
        <v>0</v>
      </c>
      <c r="V21" s="25">
        <f>_xlfn.CEILING.MATH(W21*($C$27/60))</f>
        <v>34650</v>
      </c>
      <c r="W21" s="30">
        <v>18900</v>
      </c>
      <c r="X21" s="21">
        <v>19127</v>
      </c>
      <c r="Y21" s="26">
        <f t="shared" si="11"/>
        <v>227</v>
      </c>
      <c r="Z21" s="23">
        <v>25</v>
      </c>
      <c r="AA21" s="18" t="s">
        <v>9</v>
      </c>
    </row>
    <row r="22" spans="2:27" ht="18.75" x14ac:dyDescent="0.45">
      <c r="B22" s="33" t="s">
        <v>28</v>
      </c>
      <c r="C22" s="35">
        <v>9</v>
      </c>
      <c r="E22" s="22">
        <f t="shared" si="0"/>
        <v>52416000</v>
      </c>
      <c r="F22" s="21">
        <f t="shared" si="15"/>
        <v>0</v>
      </c>
      <c r="G22" s="22">
        <f t="shared" si="16"/>
        <v>58050000</v>
      </c>
      <c r="H22" s="22">
        <f t="shared" si="1"/>
        <v>9</v>
      </c>
      <c r="I22" s="29">
        <f t="shared" si="4"/>
        <v>-800</v>
      </c>
      <c r="J22" s="22">
        <f t="shared" si="2"/>
        <v>11078000</v>
      </c>
      <c r="K22" s="22">
        <f t="shared" si="5"/>
        <v>764</v>
      </c>
      <c r="L22" s="22">
        <f t="shared" si="12"/>
        <v>0</v>
      </c>
      <c r="M22" s="22" t="str">
        <f t="shared" si="6"/>
        <v>کار معمولی</v>
      </c>
      <c r="N22" s="23">
        <f t="shared" si="7"/>
        <v>49036</v>
      </c>
      <c r="O22" s="24">
        <v>0</v>
      </c>
      <c r="P22" s="24">
        <f t="shared" si="8"/>
        <v>15088</v>
      </c>
      <c r="Q22" s="24">
        <f t="shared" si="13"/>
        <v>33948</v>
      </c>
      <c r="R22" s="30">
        <v>164</v>
      </c>
      <c r="S22" s="22">
        <f t="shared" si="9"/>
        <v>161</v>
      </c>
      <c r="T22" s="26">
        <f t="shared" si="3"/>
        <v>0</v>
      </c>
      <c r="U22" s="26">
        <f t="shared" si="10"/>
        <v>3276</v>
      </c>
      <c r="V22" s="25">
        <f t="shared" si="14"/>
        <v>33184</v>
      </c>
      <c r="W22" s="30">
        <v>18100</v>
      </c>
      <c r="X22" s="22">
        <v>14824</v>
      </c>
      <c r="Y22" s="22">
        <f t="shared" si="11"/>
        <v>0</v>
      </c>
      <c r="Z22" s="23">
        <v>23</v>
      </c>
      <c r="AA22" s="17" t="s">
        <v>10</v>
      </c>
    </row>
    <row r="23" spans="2:27" ht="18.75" x14ac:dyDescent="0.45">
      <c r="B23" s="33" t="s">
        <v>30</v>
      </c>
      <c r="C23" s="35">
        <v>4</v>
      </c>
      <c r="E23" s="22">
        <f t="shared" si="0"/>
        <v>38400000</v>
      </c>
      <c r="F23" s="21">
        <f t="shared" si="15"/>
        <v>51665454.545454539</v>
      </c>
      <c r="G23" s="22">
        <f t="shared" si="16"/>
        <v>0</v>
      </c>
      <c r="H23" s="26">
        <f t="shared" si="1"/>
        <v>0</v>
      </c>
      <c r="I23" s="29">
        <f t="shared" si="4"/>
        <v>1868</v>
      </c>
      <c r="J23" s="21">
        <f t="shared" si="2"/>
        <v>0</v>
      </c>
      <c r="K23" s="22">
        <f t="shared" si="5"/>
        <v>0</v>
      </c>
      <c r="L23" s="22">
        <f t="shared" si="12"/>
        <v>1184</v>
      </c>
      <c r="M23" s="22" t="str">
        <f t="shared" si="6"/>
        <v>کار معمولی + اضافه کاری</v>
      </c>
      <c r="N23" s="23">
        <f t="shared" si="7"/>
        <v>51168</v>
      </c>
      <c r="O23" s="24">
        <v>0</v>
      </c>
      <c r="P23" s="24">
        <f t="shared" si="8"/>
        <v>15744</v>
      </c>
      <c r="Q23" s="24">
        <f t="shared" si="13"/>
        <v>35424</v>
      </c>
      <c r="R23" s="30">
        <v>164</v>
      </c>
      <c r="S23" s="22">
        <f t="shared" si="9"/>
        <v>170</v>
      </c>
      <c r="T23" s="26">
        <f>MAX(0,X23-W23-Y23+T22)</f>
        <v>0</v>
      </c>
      <c r="U23" s="26">
        <f>Y12</f>
        <v>2400</v>
      </c>
      <c r="V23" s="25">
        <f>_xlfn.CEILING.MATH(W23*($C$27/60))</f>
        <v>36608</v>
      </c>
      <c r="W23" s="30">
        <v>19968</v>
      </c>
      <c r="X23" s="21">
        <v>20844</v>
      </c>
      <c r="Y23" s="26">
        <f t="shared" si="11"/>
        <v>3276</v>
      </c>
      <c r="Z23" s="23">
        <v>24</v>
      </c>
      <c r="AA23" s="18" t="s">
        <v>11</v>
      </c>
    </row>
    <row r="24" spans="2:27" x14ac:dyDescent="0.45">
      <c r="B24" s="36" t="s">
        <v>31</v>
      </c>
      <c r="C24" s="35">
        <v>1000</v>
      </c>
      <c r="E24" s="27">
        <f>SUM(E12:E23)</f>
        <v>313728000</v>
      </c>
      <c r="F24" s="27">
        <f t="shared" ref="F24:G24" si="17">SUM(F12:F23)</f>
        <v>179258181.81818181</v>
      </c>
      <c r="G24" s="27">
        <f t="shared" si="17"/>
        <v>331200000</v>
      </c>
      <c r="H24" s="27"/>
      <c r="I24" s="27"/>
      <c r="J24" s="27">
        <f>SUM(J12:J23)</f>
        <v>378058500</v>
      </c>
      <c r="K24" s="27">
        <f>SUM(J12:J23)</f>
        <v>378058500</v>
      </c>
      <c r="L24" s="27">
        <f>SUM(K12:K23)</f>
        <v>26073</v>
      </c>
      <c r="M24" s="27">
        <f>SUM(L12:L23)</f>
        <v>4108</v>
      </c>
      <c r="N24" s="22"/>
      <c r="O24" s="28"/>
      <c r="P24" s="28"/>
      <c r="Q24" s="28"/>
      <c r="R24" s="28"/>
      <c r="S24" s="27"/>
      <c r="T24" s="27"/>
      <c r="U24" s="27"/>
      <c r="V24" s="27"/>
      <c r="W24" s="27">
        <f>SUM(W12:W23)</f>
        <v>185652</v>
      </c>
      <c r="X24" s="27">
        <f>SUM(X12:X23)</f>
        <v>185652</v>
      </c>
      <c r="Y24" s="27"/>
      <c r="Z24" s="27">
        <f>SUM(Z12:Z23)</f>
        <v>288</v>
      </c>
      <c r="AA24" s="27" t="s">
        <v>47</v>
      </c>
    </row>
    <row r="25" spans="2:27" ht="18" customHeight="1" x14ac:dyDescent="0.45">
      <c r="B25" s="36" t="s">
        <v>68</v>
      </c>
      <c r="C25" s="35">
        <v>500</v>
      </c>
      <c r="E25" s="61">
        <f>E24+F24+G24+J24</f>
        <v>1202244681.8181818</v>
      </c>
      <c r="F25" s="61"/>
      <c r="G25" s="61"/>
      <c r="H25" s="61"/>
      <c r="I25" s="61"/>
      <c r="J25" s="63" t="s">
        <v>76</v>
      </c>
      <c r="K25" s="6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>
        <f>AVERAGE(X12:X23)</f>
        <v>15471</v>
      </c>
      <c r="Z25" s="15"/>
      <c r="AA25" s="15"/>
    </row>
    <row r="26" spans="2:27" ht="18.75" customHeight="1" thickBot="1" x14ac:dyDescent="0.5">
      <c r="B26" s="33" t="s">
        <v>38</v>
      </c>
      <c r="C26" s="35">
        <v>0</v>
      </c>
      <c r="E26" s="62"/>
      <c r="F26" s="62"/>
      <c r="G26" s="62"/>
      <c r="H26" s="62"/>
      <c r="I26" s="62"/>
      <c r="J26" s="64"/>
      <c r="K26" s="64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32.25" thickBot="1" x14ac:dyDescent="0.8">
      <c r="B27" s="33" t="s">
        <v>34</v>
      </c>
      <c r="C27" s="35">
        <v>110</v>
      </c>
      <c r="E27" s="41">
        <f>E24/$E$25</f>
        <v>0.26095187173175272</v>
      </c>
      <c r="F27" s="42">
        <f t="shared" ref="F27:G27" si="18">F24/$E$25</f>
        <v>0.14910291102064649</v>
      </c>
      <c r="G27" s="42">
        <f t="shared" si="18"/>
        <v>0.27548468710971447</v>
      </c>
      <c r="H27" s="39"/>
      <c r="I27" s="39"/>
      <c r="J27" s="40">
        <f t="shared" ref="J27" si="19">J24/$E$25</f>
        <v>0.31446053013788638</v>
      </c>
    </row>
    <row r="28" spans="2:27" x14ac:dyDescent="0.45">
      <c r="B28" s="33" t="s">
        <v>35</v>
      </c>
      <c r="C28" s="35">
        <v>133</v>
      </c>
      <c r="E28" s="61">
        <f>W24*C11</f>
        <v>161517240000</v>
      </c>
      <c r="F28" s="61"/>
      <c r="G28" s="61"/>
      <c r="H28" s="61"/>
      <c r="I28" s="61"/>
      <c r="J28" s="63" t="s">
        <v>75</v>
      </c>
      <c r="K28" s="63"/>
      <c r="P28" s="19"/>
    </row>
    <row r="29" spans="2:27" ht="18.75" thickBot="1" x14ac:dyDescent="0.5">
      <c r="B29" s="37" t="s">
        <v>58</v>
      </c>
      <c r="C29" s="38">
        <v>2400</v>
      </c>
      <c r="E29" s="62"/>
      <c r="F29" s="62"/>
      <c r="G29" s="62"/>
      <c r="H29" s="62"/>
      <c r="I29" s="62"/>
      <c r="J29" s="64"/>
      <c r="K29" s="64"/>
    </row>
    <row r="30" spans="2:27" x14ac:dyDescent="0.45">
      <c r="E30" s="61">
        <f>E28+E25</f>
        <v>162719484681.81818</v>
      </c>
      <c r="F30" s="61"/>
      <c r="G30" s="61"/>
      <c r="H30" s="61"/>
      <c r="I30" s="61"/>
      <c r="J30" s="63" t="s">
        <v>47</v>
      </c>
      <c r="K30" s="63"/>
    </row>
    <row r="31" spans="2:27" x14ac:dyDescent="0.45">
      <c r="E31" s="62"/>
      <c r="F31" s="62"/>
      <c r="G31" s="62"/>
      <c r="H31" s="62"/>
      <c r="I31" s="62"/>
      <c r="J31" s="64"/>
      <c r="K31" s="64"/>
    </row>
  </sheetData>
  <sheetProtection algorithmName="SHA-512" hashValue="2bQdR9uKLS9/hUO7NnuxzVEDzn7By2soU888HntC01jv2CHmJ76PWLqT6giYGTG2LeVmS6IsOTZd2HVLxGh4lw==" saltValue="Hqs0GGzw8caS8npbteZmSw==" spinCount="100000" sheet="1" objects="1" scenarios="1"/>
  <mergeCells count="27">
    <mergeCell ref="G7:H7"/>
    <mergeCell ref="E8:E10"/>
    <mergeCell ref="F8:F10"/>
    <mergeCell ref="G8:G10"/>
    <mergeCell ref="H8:H10"/>
    <mergeCell ref="Z8:Z10"/>
    <mergeCell ref="E25:I26"/>
    <mergeCell ref="J25:K26"/>
    <mergeCell ref="K3:T5"/>
    <mergeCell ref="P8:P10"/>
    <mergeCell ref="Q8:Q10"/>
    <mergeCell ref="R8:R10"/>
    <mergeCell ref="S8:S10"/>
    <mergeCell ref="T8:T10"/>
    <mergeCell ref="V8:V10"/>
    <mergeCell ref="J8:J10"/>
    <mergeCell ref="K8:K10"/>
    <mergeCell ref="L8:L10"/>
    <mergeCell ref="M8:M10"/>
    <mergeCell ref="N8:N10"/>
    <mergeCell ref="O8:O10"/>
    <mergeCell ref="E28:I29"/>
    <mergeCell ref="J28:K29"/>
    <mergeCell ref="E30:I31"/>
    <mergeCell ref="J30:K31"/>
    <mergeCell ref="Y8:Y10"/>
    <mergeCell ref="I8:I10"/>
  </mergeCells>
  <conditionalFormatting sqref="Q12:Q23">
    <cfRule type="expression" dxfId="75" priority="18">
      <formula>IF(Q12&lt;V12,1,0)</formula>
    </cfRule>
  </conditionalFormatting>
  <conditionalFormatting sqref="N12:N23">
    <cfRule type="expression" dxfId="74" priority="17">
      <formula>IF(N12&gt;V12,1,0)</formula>
    </cfRule>
  </conditionalFormatting>
  <conditionalFormatting sqref="H12:H23">
    <cfRule type="cellIs" dxfId="73" priority="14" operator="lessThan">
      <formula>0</formula>
    </cfRule>
    <cfRule type="cellIs" dxfId="72" priority="16" operator="greaterThan">
      <formula>0</formula>
    </cfRule>
  </conditionalFormatting>
  <conditionalFormatting sqref="G12:G23">
    <cfRule type="expression" dxfId="71" priority="15">
      <formula>IF(H12&lt;0,1,0)</formula>
    </cfRule>
  </conditionalFormatting>
  <conditionalFormatting sqref="H24 G12:G23">
    <cfRule type="expression" dxfId="70" priority="13">
      <formula>IF(H12&gt;0,1,0)</formula>
    </cfRule>
  </conditionalFormatting>
  <conditionalFormatting sqref="H12:H23">
    <cfRule type="expression" dxfId="69" priority="19">
      <formula>IF(J12&lt;0,1,0)</formula>
    </cfRule>
  </conditionalFormatting>
  <conditionalFormatting sqref="I12:I23">
    <cfRule type="cellIs" dxfId="68" priority="1" operator="equal">
      <formula>0</formula>
    </cfRule>
    <cfRule type="cellIs" dxfId="67" priority="12" operator="between">
      <formula>$C$25-1</formula>
      <formula>-$C$25+1</formula>
    </cfRule>
  </conditionalFormatting>
  <conditionalFormatting sqref="T12:T23">
    <cfRule type="cellIs" dxfId="66" priority="11" operator="greaterThan">
      <formula>$C$15</formula>
    </cfRule>
  </conditionalFormatting>
  <conditionalFormatting sqref="U11:U23">
    <cfRule type="cellIs" dxfId="65" priority="10" operator="greaterThan">
      <formula>$C$16</formula>
    </cfRule>
  </conditionalFormatting>
  <conditionalFormatting sqref="Y12:Y23">
    <cfRule type="cellIs" dxfId="64" priority="9" operator="lessThan">
      <formula>$C$26</formula>
    </cfRule>
  </conditionalFormatting>
  <conditionalFormatting sqref="Z12:Z23">
    <cfRule type="cellIs" dxfId="63" priority="8" operator="between">
      <formula>15</formula>
      <formula>28</formula>
    </cfRule>
  </conditionalFormatting>
  <conditionalFormatting sqref="W24:X24">
    <cfRule type="cellIs" dxfId="62" priority="7" operator="notEqual">
      <formula>$X$24</formula>
    </cfRule>
  </conditionalFormatting>
  <conditionalFormatting sqref="V12:V23">
    <cfRule type="expression" dxfId="61" priority="6">
      <formula>IF(N12&lt;V12,1,0)</formula>
    </cfRule>
  </conditionalFormatting>
  <conditionalFormatting sqref="E12:E23">
    <cfRule type="expression" dxfId="60" priority="4">
      <formula>IF(U12&gt;0,1,0)</formula>
    </cfRule>
    <cfRule type="expression" dxfId="59" priority="5">
      <formula>IF(T12&gt;0,1,0)</formula>
    </cfRule>
  </conditionalFormatting>
  <conditionalFormatting sqref="F12:F23">
    <cfRule type="cellIs" dxfId="58" priority="3" operator="greaterThan">
      <formula>0</formula>
    </cfRule>
  </conditionalFormatting>
  <conditionalFormatting sqref="J12:J23">
    <cfRule type="cellIs" dxfId="57" priority="2" operator="greaterThan">
      <formula>0</formula>
    </cfRule>
  </conditionalFormatting>
  <dataValidations count="1">
    <dataValidation type="whole" allowBlank="1" showInputMessage="1" showErrorMessage="1" sqref="R12:R23" xr:uid="{00000000-0002-0000-0300-000000000000}">
      <formula1>$C$20</formula1>
      <formula2>$C$21</formula2>
    </dataValidation>
  </dataValidation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E31"/>
  <sheetViews>
    <sheetView showGridLines="0" topLeftCell="E1" zoomScale="70" zoomScaleNormal="70" workbookViewId="0">
      <selection activeCell="K4" sqref="K4:R6"/>
    </sheetView>
  </sheetViews>
  <sheetFormatPr defaultColWidth="9" defaultRowHeight="18" x14ac:dyDescent="0.45"/>
  <cols>
    <col min="1" max="1" width="9" style="14"/>
    <col min="2" max="2" width="29.125" style="14" bestFit="1" customWidth="1"/>
    <col min="3" max="3" width="17.625" style="14" bestFit="1" customWidth="1"/>
    <col min="4" max="4" width="9" style="14"/>
    <col min="5" max="5" width="17.625" style="14" bestFit="1" customWidth="1"/>
    <col min="6" max="6" width="17.125" style="14" bestFit="1" customWidth="1"/>
    <col min="7" max="7" width="13.375" style="14" bestFit="1" customWidth="1"/>
    <col min="8" max="8" width="14.125" style="14" bestFit="1" customWidth="1"/>
    <col min="9" max="9" width="10.125" style="14" bestFit="1" customWidth="1"/>
    <col min="10" max="10" width="17.125" style="14" bestFit="1" customWidth="1"/>
    <col min="11" max="11" width="21.625" style="14" bestFit="1" customWidth="1"/>
    <col min="12" max="12" width="17.625" style="14" bestFit="1" customWidth="1"/>
    <col min="13" max="13" width="23.625" style="14" bestFit="1" customWidth="1"/>
    <col min="14" max="14" width="19.125" style="14" bestFit="1" customWidth="1"/>
    <col min="15" max="15" width="25.125" style="14" bestFit="1" customWidth="1"/>
    <col min="16" max="16" width="27.125" style="14" bestFit="1" customWidth="1"/>
    <col min="17" max="17" width="30.125" style="14" bestFit="1" customWidth="1"/>
    <col min="18" max="18" width="17.625" style="14" bestFit="1" customWidth="1"/>
    <col min="19" max="19" width="14.625" style="14" bestFit="1" customWidth="1"/>
    <col min="20" max="20" width="6.125" style="14" bestFit="1" customWidth="1"/>
    <col min="21" max="21" width="11.625" style="14" bestFit="1" customWidth="1"/>
    <col min="22" max="22" width="15.625" style="14" bestFit="1" customWidth="1"/>
    <col min="23" max="24" width="9.625" style="14" bestFit="1" customWidth="1"/>
    <col min="25" max="25" width="11.625" style="14" bestFit="1" customWidth="1"/>
    <col min="26" max="26" width="13.125" style="14" bestFit="1" customWidth="1"/>
    <col min="27" max="27" width="13.625" style="14" bestFit="1" customWidth="1"/>
    <col min="28" max="16384" width="9" style="14"/>
  </cols>
  <sheetData>
    <row r="1" spans="1:31" customFormat="1" ht="39.75" customHeight="1" x14ac:dyDescent="0.2">
      <c r="A1" s="51" t="str">
        <f>"                     ‌Production Planning  (Saya Oven Toaster (پارس خزر))       -     "</f>
        <v xml:space="preserve">                     ‌Production Planning  (Saya Oven Toaster (پارس خزر))       -     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4" spans="1:31" x14ac:dyDescent="0.45">
      <c r="K4" s="72" t="s">
        <v>73</v>
      </c>
      <c r="L4" s="72"/>
      <c r="M4" s="72"/>
      <c r="N4" s="72"/>
      <c r="O4" s="72"/>
      <c r="P4" s="72"/>
      <c r="Q4" s="72"/>
      <c r="R4" s="72"/>
    </row>
    <row r="5" spans="1:31" x14ac:dyDescent="0.45">
      <c r="K5" s="72"/>
      <c r="L5" s="72"/>
      <c r="M5" s="72"/>
      <c r="N5" s="72"/>
      <c r="O5" s="72"/>
      <c r="P5" s="72"/>
      <c r="Q5" s="72"/>
      <c r="R5" s="72"/>
    </row>
    <row r="6" spans="1:31" x14ac:dyDescent="0.45">
      <c r="K6" s="72"/>
      <c r="L6" s="72"/>
      <c r="M6" s="72"/>
      <c r="N6" s="72"/>
      <c r="O6" s="72"/>
      <c r="P6" s="72"/>
      <c r="Q6" s="72"/>
      <c r="R6" s="72"/>
    </row>
    <row r="7" spans="1:31" x14ac:dyDescent="0.45">
      <c r="G7" s="70" t="s">
        <v>66</v>
      </c>
      <c r="H7" s="70"/>
    </row>
    <row r="8" spans="1:31" ht="36.75" thickBot="1" x14ac:dyDescent="0.5">
      <c r="E8" s="65" t="s">
        <v>71</v>
      </c>
      <c r="F8" s="65" t="s">
        <v>72</v>
      </c>
      <c r="G8" s="65" t="s">
        <v>67</v>
      </c>
      <c r="H8" s="65" t="s">
        <v>16</v>
      </c>
      <c r="I8" s="65" t="s">
        <v>69</v>
      </c>
      <c r="J8" s="65" t="s">
        <v>45</v>
      </c>
      <c r="K8" s="65" t="s">
        <v>44</v>
      </c>
      <c r="L8" s="65" t="s">
        <v>42</v>
      </c>
      <c r="M8" s="65" t="s">
        <v>65</v>
      </c>
      <c r="N8" s="69" t="s">
        <v>64</v>
      </c>
      <c r="O8" s="69" t="s">
        <v>63</v>
      </c>
      <c r="P8" s="69" t="s">
        <v>62</v>
      </c>
      <c r="Q8" s="69" t="s">
        <v>61</v>
      </c>
      <c r="R8" s="68" t="s">
        <v>54</v>
      </c>
      <c r="S8" s="65" t="s">
        <v>15</v>
      </c>
      <c r="T8" s="65" t="s">
        <v>41</v>
      </c>
      <c r="U8" s="44" t="s">
        <v>14</v>
      </c>
      <c r="V8" s="65" t="s">
        <v>60</v>
      </c>
      <c r="W8" s="44" t="s">
        <v>13</v>
      </c>
      <c r="X8" s="44" t="s">
        <v>40</v>
      </c>
      <c r="Y8" s="65" t="s">
        <v>12</v>
      </c>
      <c r="Z8" s="65" t="s">
        <v>39</v>
      </c>
      <c r="AA8" s="44" t="s">
        <v>48</v>
      </c>
    </row>
    <row r="9" spans="1:31" x14ac:dyDescent="0.45">
      <c r="B9" s="31" t="s">
        <v>57</v>
      </c>
      <c r="C9" s="32" t="s">
        <v>37</v>
      </c>
      <c r="E9" s="66"/>
      <c r="F9" s="66"/>
      <c r="G9" s="66"/>
      <c r="H9" s="66"/>
      <c r="I9" s="66"/>
      <c r="J9" s="66"/>
      <c r="K9" s="66"/>
      <c r="L9" s="66"/>
      <c r="M9" s="66"/>
      <c r="N9" s="69"/>
      <c r="O9" s="69"/>
      <c r="P9" s="69"/>
      <c r="Q9" s="69"/>
      <c r="R9" s="68"/>
      <c r="S9" s="66"/>
      <c r="T9" s="66"/>
      <c r="U9" s="45"/>
      <c r="V9" s="66"/>
      <c r="W9" s="45"/>
      <c r="X9" s="45"/>
      <c r="Y9" s="66"/>
      <c r="Z9" s="66"/>
      <c r="AA9" s="45"/>
    </row>
    <row r="10" spans="1:31" x14ac:dyDescent="0.45">
      <c r="B10" s="33" t="s">
        <v>56</v>
      </c>
      <c r="C10" s="34">
        <f>C12-C11</f>
        <v>80000</v>
      </c>
      <c r="E10" s="67"/>
      <c r="F10" s="67"/>
      <c r="G10" s="67"/>
      <c r="H10" s="67"/>
      <c r="I10" s="67"/>
      <c r="J10" s="67"/>
      <c r="K10" s="67"/>
      <c r="L10" s="67"/>
      <c r="M10" s="67"/>
      <c r="N10" s="69"/>
      <c r="O10" s="69"/>
      <c r="P10" s="69"/>
      <c r="Q10" s="69"/>
      <c r="R10" s="68"/>
      <c r="S10" s="67"/>
      <c r="T10" s="67"/>
      <c r="U10" s="46"/>
      <c r="V10" s="67"/>
      <c r="W10" s="46"/>
      <c r="X10" s="46"/>
      <c r="Y10" s="67"/>
      <c r="Z10" s="67"/>
      <c r="AA10" s="46"/>
    </row>
    <row r="11" spans="1:31" x14ac:dyDescent="0.45">
      <c r="B11" s="33" t="s">
        <v>22</v>
      </c>
      <c r="C11" s="35">
        <v>870000</v>
      </c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1"/>
      <c r="P11" s="21"/>
      <c r="Q11" s="21"/>
      <c r="R11" s="21">
        <v>133</v>
      </c>
      <c r="S11" s="21"/>
      <c r="T11" s="20"/>
      <c r="U11" s="20"/>
      <c r="V11" s="20"/>
      <c r="W11" s="20">
        <f>X24/12</f>
        <v>15471</v>
      </c>
      <c r="X11" s="20"/>
      <c r="Y11" s="20"/>
      <c r="Z11" s="20"/>
      <c r="AA11" s="16"/>
    </row>
    <row r="12" spans="1:31" ht="18.75" x14ac:dyDescent="0.45">
      <c r="B12" s="33" t="s">
        <v>23</v>
      </c>
      <c r="C12" s="35">
        <v>950000</v>
      </c>
      <c r="E12" s="22">
        <f t="shared" ref="E12:E23" si="0">MAX(T12*$C$14,U12*$C$13)</f>
        <v>0</v>
      </c>
      <c r="F12" s="21">
        <f>L12*(60/$C$27)*$C$10</f>
        <v>0</v>
      </c>
      <c r="G12" s="22">
        <f>IF(H12&gt;=0,H12*$C$18,ABS(H12*$C$19))</f>
        <v>0</v>
      </c>
      <c r="H12" s="22">
        <f t="shared" ref="H12:H23" si="1">R12-R11</f>
        <v>0</v>
      </c>
      <c r="I12" s="29">
        <f>W12-W11</f>
        <v>-2633</v>
      </c>
      <c r="J12" s="22">
        <f t="shared" ref="J12:J23" si="2">K12*$C$17</f>
        <v>23200000</v>
      </c>
      <c r="K12" s="22">
        <f>MAX(0,Q12-V12)</f>
        <v>1600</v>
      </c>
      <c r="L12" s="22">
        <f>MIN(MAX(0,V12-Q12),P12)</f>
        <v>0</v>
      </c>
      <c r="M12" s="22" t="str">
        <f>IF(V12&lt;Q12,"کار معمولی",IF(V12&lt;Q12+P12,"کار معمولی + اضافه کاری","کار معمولی، اضافه‌کاری و پیمانکاری"))</f>
        <v>کار معمولی</v>
      </c>
      <c r="N12" s="23">
        <f>O12+P12+Q12</f>
        <v>36309</v>
      </c>
      <c r="O12" s="24">
        <v>0</v>
      </c>
      <c r="P12" s="24">
        <f>Z12*$C$23*R12</f>
        <v>11172</v>
      </c>
      <c r="Q12" s="24">
        <f>Z12*$C$22*R12</f>
        <v>25137</v>
      </c>
      <c r="R12" s="30">
        <v>133</v>
      </c>
      <c r="S12" s="22">
        <f>MIN(_xlfn.CEILING.MATH(V12/(Z12*$C$22)),$C$21)</f>
        <v>125</v>
      </c>
      <c r="T12" s="26">
        <f t="shared" ref="T12:T22" si="3">MAX(0,X12-W12-Y12+T11)</f>
        <v>0</v>
      </c>
      <c r="U12" s="26">
        <f>MAX(0,W12-X12+Y12-T11)</f>
        <v>0</v>
      </c>
      <c r="V12" s="25">
        <f>_xlfn.CEILING.MATH(W12*($C$27/60))</f>
        <v>23537</v>
      </c>
      <c r="W12" s="30">
        <v>12838</v>
      </c>
      <c r="X12" s="22">
        <v>15238</v>
      </c>
      <c r="Y12" s="22">
        <f>C29</f>
        <v>2400</v>
      </c>
      <c r="Z12" s="23">
        <v>21</v>
      </c>
      <c r="AA12" s="17" t="s">
        <v>0</v>
      </c>
    </row>
    <row r="13" spans="1:31" ht="18.75" x14ac:dyDescent="0.45">
      <c r="B13" s="33" t="s">
        <v>59</v>
      </c>
      <c r="C13" s="35">
        <v>16000</v>
      </c>
      <c r="E13" s="22">
        <f t="shared" si="0"/>
        <v>0</v>
      </c>
      <c r="F13" s="21">
        <f>L13*(60/$C$27)*$C$10</f>
        <v>251083636.36363637</v>
      </c>
      <c r="G13" s="22">
        <f>IF(H13&gt;=0,H13*$C$18,ABS(H13*$C$19))</f>
        <v>0</v>
      </c>
      <c r="H13" s="26">
        <f t="shared" si="1"/>
        <v>0</v>
      </c>
      <c r="I13" s="29">
        <f t="shared" ref="I13:I23" si="4">W13-W12</f>
        <v>5317</v>
      </c>
      <c r="J13" s="21">
        <f t="shared" si="2"/>
        <v>0</v>
      </c>
      <c r="K13" s="22">
        <f t="shared" ref="K13:K23" si="5">MAX(0,Q13-V13)</f>
        <v>0</v>
      </c>
      <c r="L13" s="22">
        <f>MIN(MAX(0,V13-Q13),P13)</f>
        <v>5754</v>
      </c>
      <c r="M13" s="22" t="str">
        <f t="shared" ref="M13:M23" si="6">IF(V13&lt;Q13,"کار معمولی",IF(V13&lt;Q13+P13,"کار معمولی + اضافه کاری","کار معمولی، اضافه‌کاری و پیمانکاری"))</f>
        <v>کار معمولی + اضافه کاری</v>
      </c>
      <c r="N13" s="23">
        <f t="shared" ref="N13:N23" si="7">O13+P13+Q13</f>
        <v>39767</v>
      </c>
      <c r="O13" s="24">
        <v>0</v>
      </c>
      <c r="P13" s="24">
        <f t="shared" ref="P13:P23" si="8">Z13*$C$23*R13</f>
        <v>12236</v>
      </c>
      <c r="Q13" s="24">
        <f>Z13*$C$22*R13</f>
        <v>27531</v>
      </c>
      <c r="R13" s="30">
        <v>133</v>
      </c>
      <c r="S13" s="22">
        <f t="shared" ref="S13:S23" si="9">MIN(_xlfn.CEILING.MATH(V13/(Z13*$C$22)),$C$21)</f>
        <v>161</v>
      </c>
      <c r="T13" s="26">
        <f t="shared" si="3"/>
        <v>0</v>
      </c>
      <c r="U13" s="26">
        <f t="shared" ref="U13:U22" si="10">MAX(0,W13-X13+Y13-T12)</f>
        <v>0</v>
      </c>
      <c r="V13" s="25">
        <f>_xlfn.CEILING.MATH(W13*($C$27/60))</f>
        <v>33285</v>
      </c>
      <c r="W13" s="30">
        <v>18155</v>
      </c>
      <c r="X13" s="21">
        <v>18155</v>
      </c>
      <c r="Y13" s="26">
        <f t="shared" ref="Y13:Y23" si="11">U12</f>
        <v>0</v>
      </c>
      <c r="Z13" s="23">
        <v>23</v>
      </c>
      <c r="AA13" s="18" t="s">
        <v>1</v>
      </c>
    </row>
    <row r="14" spans="1:31" ht="18.75" x14ac:dyDescent="0.45">
      <c r="B14" s="33" t="s">
        <v>25</v>
      </c>
      <c r="C14" s="35">
        <v>255000</v>
      </c>
      <c r="E14" s="22">
        <f t="shared" si="0"/>
        <v>0</v>
      </c>
      <c r="F14" s="21">
        <f>L14*(60/$C$27)*$C$10</f>
        <v>0</v>
      </c>
      <c r="G14" s="22">
        <f>IF(H14&gt;=0,H14*$C$18,ABS(H14*$C$19))</f>
        <v>0</v>
      </c>
      <c r="H14" s="22">
        <f t="shared" si="1"/>
        <v>0</v>
      </c>
      <c r="I14" s="29">
        <f>W14-W13</f>
        <v>-6972</v>
      </c>
      <c r="J14" s="22">
        <f>K14*$C$17</f>
        <v>119262500</v>
      </c>
      <c r="K14" s="22">
        <f t="shared" si="5"/>
        <v>8225</v>
      </c>
      <c r="L14" s="22">
        <f t="shared" ref="L14:L23" si="12">MIN(MAX(0,V14-Q14),P14)</f>
        <v>0</v>
      </c>
      <c r="M14" s="22" t="str">
        <f t="shared" si="6"/>
        <v>کار معمولی</v>
      </c>
      <c r="N14" s="23">
        <f t="shared" si="7"/>
        <v>41496</v>
      </c>
      <c r="O14" s="24">
        <v>0</v>
      </c>
      <c r="P14" s="24">
        <f t="shared" si="8"/>
        <v>12768</v>
      </c>
      <c r="Q14" s="24">
        <f t="shared" ref="Q14:Q23" si="13">Z14*$C$22*R14</f>
        <v>28728</v>
      </c>
      <c r="R14" s="30">
        <v>133</v>
      </c>
      <c r="S14" s="22">
        <f t="shared" si="9"/>
        <v>95</v>
      </c>
      <c r="T14" s="26">
        <f t="shared" si="3"/>
        <v>0</v>
      </c>
      <c r="U14" s="26">
        <f t="shared" si="10"/>
        <v>0</v>
      </c>
      <c r="V14" s="25">
        <f t="shared" ref="V14:V22" si="14">_xlfn.CEILING.MATH(W14*($C$27/60))</f>
        <v>20503</v>
      </c>
      <c r="W14" s="30">
        <v>11183</v>
      </c>
      <c r="X14" s="22">
        <v>11183</v>
      </c>
      <c r="Y14" s="22">
        <f t="shared" si="11"/>
        <v>0</v>
      </c>
      <c r="Z14" s="23">
        <v>24</v>
      </c>
      <c r="AA14" s="17" t="s">
        <v>2</v>
      </c>
    </row>
    <row r="15" spans="1:31" ht="18.75" x14ac:dyDescent="0.45">
      <c r="B15" s="36" t="s">
        <v>32</v>
      </c>
      <c r="C15" s="35">
        <v>1000</v>
      </c>
      <c r="E15" s="22">
        <f t="shared" si="0"/>
        <v>0</v>
      </c>
      <c r="F15" s="21">
        <f t="shared" ref="F15:F23" si="15">L15*(60/$C$27)*$C$10</f>
        <v>0</v>
      </c>
      <c r="G15" s="22">
        <f t="shared" ref="G15:G23" si="16">IF(H15&gt;=0,H15*$C$18,ABS(H15*$C$19))</f>
        <v>0</v>
      </c>
      <c r="H15" s="26">
        <f t="shared" si="1"/>
        <v>0</v>
      </c>
      <c r="I15" s="29">
        <f>W15-W14</f>
        <v>1645</v>
      </c>
      <c r="J15" s="21">
        <f>K15*$C$17</f>
        <v>110258000</v>
      </c>
      <c r="K15" s="22">
        <f t="shared" si="5"/>
        <v>7604</v>
      </c>
      <c r="L15" s="22">
        <f t="shared" si="12"/>
        <v>0</v>
      </c>
      <c r="M15" s="22" t="str">
        <f t="shared" si="6"/>
        <v>کار معمولی</v>
      </c>
      <c r="N15" s="23">
        <f t="shared" si="7"/>
        <v>44954</v>
      </c>
      <c r="O15" s="24">
        <v>0</v>
      </c>
      <c r="P15" s="24">
        <f t="shared" si="8"/>
        <v>13832</v>
      </c>
      <c r="Q15" s="24">
        <f t="shared" si="13"/>
        <v>31122</v>
      </c>
      <c r="R15" s="30">
        <v>133</v>
      </c>
      <c r="S15" s="22">
        <f t="shared" si="9"/>
        <v>101</v>
      </c>
      <c r="T15" s="26">
        <f t="shared" si="3"/>
        <v>0</v>
      </c>
      <c r="U15" s="26">
        <f t="shared" si="10"/>
        <v>0</v>
      </c>
      <c r="V15" s="25">
        <f>_xlfn.CEILING.MATH(W15*($C$27/60))</f>
        <v>23518</v>
      </c>
      <c r="W15" s="30">
        <v>12828</v>
      </c>
      <c r="X15" s="21">
        <v>12828</v>
      </c>
      <c r="Y15" s="26">
        <f t="shared" si="11"/>
        <v>0</v>
      </c>
      <c r="Z15" s="23">
        <v>26</v>
      </c>
      <c r="AA15" s="18" t="s">
        <v>3</v>
      </c>
    </row>
    <row r="16" spans="1:31" ht="18.75" x14ac:dyDescent="0.45">
      <c r="B16" s="33" t="s">
        <v>70</v>
      </c>
      <c r="C16" s="35">
        <v>10000</v>
      </c>
      <c r="E16" s="22">
        <f t="shared" si="0"/>
        <v>0</v>
      </c>
      <c r="F16" s="21">
        <f>L16*(60/$C$27)*$C$10</f>
        <v>85527272.727272719</v>
      </c>
      <c r="G16" s="22">
        <f t="shared" si="16"/>
        <v>0</v>
      </c>
      <c r="H16" s="22">
        <f t="shared" si="1"/>
        <v>0</v>
      </c>
      <c r="I16" s="29">
        <f t="shared" si="4"/>
        <v>3258</v>
      </c>
      <c r="J16" s="22">
        <f t="shared" si="2"/>
        <v>0</v>
      </c>
      <c r="K16" s="22">
        <f>MAX(0,Q16-V16)</f>
        <v>0</v>
      </c>
      <c r="L16" s="22">
        <f>MIN(MAX(0,V16-Q16),P16)</f>
        <v>1960</v>
      </c>
      <c r="M16" s="22" t="str">
        <f>IF(V16&lt;Q16,"کار معمولی",IF(V16&lt;Q16+P16,"کار معمولی + اضافه کاری","کار معمولی، اضافه‌کاری و پیمانکاری"))</f>
        <v>کار معمولی + اضافه کاری</v>
      </c>
      <c r="N16" s="23">
        <f>O16+P16+Q16</f>
        <v>39767</v>
      </c>
      <c r="O16" s="24">
        <v>0</v>
      </c>
      <c r="P16" s="24">
        <f>Z16*$C$23*R16</f>
        <v>12236</v>
      </c>
      <c r="Q16" s="24">
        <f>Z16*$C$22*R16</f>
        <v>27531</v>
      </c>
      <c r="R16" s="30">
        <v>133</v>
      </c>
      <c r="S16" s="22">
        <f>MIN(_xlfn.CEILING.MATH(V16/(Z16*$C$22)),$C$21)</f>
        <v>143</v>
      </c>
      <c r="T16" s="26">
        <f>MAX(0,X16-W16-Y16+T15)</f>
        <v>0</v>
      </c>
      <c r="U16" s="26">
        <f t="shared" si="10"/>
        <v>0</v>
      </c>
      <c r="V16" s="25">
        <f>_xlfn.CEILING.MATH(W16*($C$27/60))</f>
        <v>29491</v>
      </c>
      <c r="W16" s="30">
        <v>16086</v>
      </c>
      <c r="X16" s="22">
        <v>16086</v>
      </c>
      <c r="Y16" s="22">
        <f t="shared" si="11"/>
        <v>0</v>
      </c>
      <c r="Z16" s="23">
        <v>23</v>
      </c>
      <c r="AA16" s="17" t="s">
        <v>4</v>
      </c>
    </row>
    <row r="17" spans="2:27" ht="18.75" x14ac:dyDescent="0.45">
      <c r="B17" s="33" t="s">
        <v>46</v>
      </c>
      <c r="C17" s="35">
        <v>14500</v>
      </c>
      <c r="E17" s="22">
        <f t="shared" si="0"/>
        <v>0</v>
      </c>
      <c r="F17" s="21">
        <f t="shared" si="15"/>
        <v>0</v>
      </c>
      <c r="G17" s="22">
        <f t="shared" si="16"/>
        <v>0</v>
      </c>
      <c r="H17" s="26">
        <f t="shared" si="1"/>
        <v>0</v>
      </c>
      <c r="I17" s="29">
        <f t="shared" si="4"/>
        <v>-2179</v>
      </c>
      <c r="J17" s="21">
        <f t="shared" si="2"/>
        <v>98919000</v>
      </c>
      <c r="K17" s="22">
        <f t="shared" si="5"/>
        <v>6822</v>
      </c>
      <c r="L17" s="22">
        <f t="shared" si="12"/>
        <v>0</v>
      </c>
      <c r="M17" s="22" t="str">
        <f t="shared" si="6"/>
        <v>کار معمولی</v>
      </c>
      <c r="N17" s="23">
        <f t="shared" si="7"/>
        <v>46683</v>
      </c>
      <c r="O17" s="24">
        <v>0</v>
      </c>
      <c r="P17" s="24">
        <f t="shared" si="8"/>
        <v>14364</v>
      </c>
      <c r="Q17" s="24">
        <f t="shared" si="13"/>
        <v>32319</v>
      </c>
      <c r="R17" s="30">
        <v>133</v>
      </c>
      <c r="S17" s="22">
        <f t="shared" si="9"/>
        <v>105</v>
      </c>
      <c r="T17" s="26">
        <f t="shared" si="3"/>
        <v>0</v>
      </c>
      <c r="U17" s="26">
        <f t="shared" si="10"/>
        <v>0</v>
      </c>
      <c r="V17" s="25">
        <f t="shared" si="14"/>
        <v>25497</v>
      </c>
      <c r="W17" s="30">
        <v>13907</v>
      </c>
      <c r="X17" s="21">
        <v>13907</v>
      </c>
      <c r="Y17" s="26">
        <f t="shared" si="11"/>
        <v>0</v>
      </c>
      <c r="Z17" s="23">
        <v>27</v>
      </c>
      <c r="AA17" s="18" t="s">
        <v>5</v>
      </c>
    </row>
    <row r="18" spans="2:27" ht="18.75" x14ac:dyDescent="0.45">
      <c r="B18" s="33" t="s">
        <v>26</v>
      </c>
      <c r="C18" s="35">
        <v>6450000</v>
      </c>
      <c r="E18" s="22">
        <f t="shared" si="0"/>
        <v>0</v>
      </c>
      <c r="F18" s="21">
        <f t="shared" si="15"/>
        <v>0</v>
      </c>
      <c r="G18" s="22">
        <f t="shared" si="16"/>
        <v>0</v>
      </c>
      <c r="H18" s="22">
        <f t="shared" si="1"/>
        <v>0</v>
      </c>
      <c r="I18" s="29">
        <f t="shared" si="4"/>
        <v>-3178</v>
      </c>
      <c r="J18" s="22">
        <f t="shared" si="2"/>
        <v>79271500</v>
      </c>
      <c r="K18" s="22">
        <f t="shared" si="5"/>
        <v>5467</v>
      </c>
      <c r="L18" s="22">
        <f t="shared" si="12"/>
        <v>0</v>
      </c>
      <c r="M18" s="22" t="str">
        <f t="shared" si="6"/>
        <v>کار معمولی</v>
      </c>
      <c r="N18" s="23">
        <f t="shared" si="7"/>
        <v>36309</v>
      </c>
      <c r="O18" s="24">
        <v>0</v>
      </c>
      <c r="P18" s="24">
        <f t="shared" si="8"/>
        <v>11172</v>
      </c>
      <c r="Q18" s="24">
        <f t="shared" si="13"/>
        <v>25137</v>
      </c>
      <c r="R18" s="30">
        <v>133</v>
      </c>
      <c r="S18" s="22">
        <f t="shared" si="9"/>
        <v>105</v>
      </c>
      <c r="T18" s="26">
        <f t="shared" si="3"/>
        <v>0</v>
      </c>
      <c r="U18" s="26">
        <f t="shared" si="10"/>
        <v>0</v>
      </c>
      <c r="V18" s="25">
        <f t="shared" si="14"/>
        <v>19670</v>
      </c>
      <c r="W18" s="30">
        <v>10729</v>
      </c>
      <c r="X18" s="22">
        <v>10729</v>
      </c>
      <c r="Y18" s="22">
        <f t="shared" si="11"/>
        <v>0</v>
      </c>
      <c r="Z18" s="23">
        <v>21</v>
      </c>
      <c r="AA18" s="17" t="s">
        <v>6</v>
      </c>
    </row>
    <row r="19" spans="2:27" ht="18.75" x14ac:dyDescent="0.45">
      <c r="B19" s="33" t="s">
        <v>27</v>
      </c>
      <c r="C19" s="35">
        <v>2300000</v>
      </c>
      <c r="E19" s="22">
        <f t="shared" si="0"/>
        <v>0</v>
      </c>
      <c r="F19" s="21">
        <f t="shared" si="15"/>
        <v>0</v>
      </c>
      <c r="G19" s="22">
        <f t="shared" si="16"/>
        <v>0</v>
      </c>
      <c r="H19" s="26">
        <f t="shared" si="1"/>
        <v>0</v>
      </c>
      <c r="I19" s="29">
        <f t="shared" si="4"/>
        <v>5482</v>
      </c>
      <c r="J19" s="21">
        <f t="shared" si="2"/>
        <v>2958000</v>
      </c>
      <c r="K19" s="22">
        <f t="shared" si="5"/>
        <v>204</v>
      </c>
      <c r="L19" s="22">
        <f t="shared" si="12"/>
        <v>0</v>
      </c>
      <c r="M19" s="22" t="str">
        <f t="shared" si="6"/>
        <v>کار معمولی</v>
      </c>
      <c r="N19" s="23">
        <f t="shared" si="7"/>
        <v>43225</v>
      </c>
      <c r="O19" s="24">
        <v>0</v>
      </c>
      <c r="P19" s="24">
        <f t="shared" si="8"/>
        <v>13300</v>
      </c>
      <c r="Q19" s="24">
        <f t="shared" si="13"/>
        <v>29925</v>
      </c>
      <c r="R19" s="30">
        <v>133</v>
      </c>
      <c r="S19" s="22">
        <f t="shared" si="9"/>
        <v>133</v>
      </c>
      <c r="T19" s="26">
        <f t="shared" si="3"/>
        <v>0</v>
      </c>
      <c r="U19" s="26">
        <f t="shared" si="10"/>
        <v>0</v>
      </c>
      <c r="V19" s="25">
        <f t="shared" si="14"/>
        <v>29721</v>
      </c>
      <c r="W19" s="30">
        <v>16211</v>
      </c>
      <c r="X19" s="21">
        <v>16211</v>
      </c>
      <c r="Y19" s="26">
        <f t="shared" si="11"/>
        <v>0</v>
      </c>
      <c r="Z19" s="23">
        <v>25</v>
      </c>
      <c r="AA19" s="18" t="s">
        <v>7</v>
      </c>
    </row>
    <row r="20" spans="2:27" ht="18.75" x14ac:dyDescent="0.45">
      <c r="B20" s="33" t="s">
        <v>29</v>
      </c>
      <c r="C20" s="35">
        <v>90</v>
      </c>
      <c r="E20" s="22">
        <f>MAX(T20*$C$14,U20*$C$13)</f>
        <v>3056000</v>
      </c>
      <c r="F20" s="21">
        <f t="shared" si="15"/>
        <v>0</v>
      </c>
      <c r="G20" s="22">
        <f t="shared" si="16"/>
        <v>0</v>
      </c>
      <c r="H20" s="22">
        <f t="shared" si="1"/>
        <v>0</v>
      </c>
      <c r="I20" s="29">
        <f t="shared" si="4"/>
        <v>500</v>
      </c>
      <c r="J20" s="22">
        <f t="shared" si="2"/>
        <v>7032500</v>
      </c>
      <c r="K20" s="22">
        <f t="shared" si="5"/>
        <v>485</v>
      </c>
      <c r="L20" s="22">
        <f t="shared" si="12"/>
        <v>0</v>
      </c>
      <c r="M20" s="22" t="str">
        <f t="shared" si="6"/>
        <v>کار معمولی</v>
      </c>
      <c r="N20" s="23">
        <f t="shared" si="7"/>
        <v>44954</v>
      </c>
      <c r="O20" s="24">
        <v>0</v>
      </c>
      <c r="P20" s="24">
        <f t="shared" si="8"/>
        <v>13832</v>
      </c>
      <c r="Q20" s="24">
        <f t="shared" si="13"/>
        <v>31122</v>
      </c>
      <c r="R20" s="30">
        <v>133</v>
      </c>
      <c r="S20" s="22">
        <f t="shared" si="9"/>
        <v>131</v>
      </c>
      <c r="T20" s="26">
        <f t="shared" si="3"/>
        <v>0</v>
      </c>
      <c r="U20" s="26">
        <f t="shared" si="10"/>
        <v>191</v>
      </c>
      <c r="V20" s="25">
        <f t="shared" si="14"/>
        <v>30637</v>
      </c>
      <c r="W20" s="30">
        <v>16711</v>
      </c>
      <c r="X20" s="22">
        <v>16520</v>
      </c>
      <c r="Y20" s="22">
        <f t="shared" si="11"/>
        <v>0</v>
      </c>
      <c r="Z20" s="23">
        <v>26</v>
      </c>
      <c r="AA20" s="17" t="s">
        <v>8</v>
      </c>
    </row>
    <row r="21" spans="2:27" ht="18.75" x14ac:dyDescent="0.45">
      <c r="B21" s="33" t="s">
        <v>36</v>
      </c>
      <c r="C21" s="35">
        <v>170</v>
      </c>
      <c r="E21" s="22">
        <f t="shared" si="0"/>
        <v>0</v>
      </c>
      <c r="F21" s="21">
        <f t="shared" si="15"/>
        <v>2880000</v>
      </c>
      <c r="G21" s="22">
        <f t="shared" si="16"/>
        <v>135450000</v>
      </c>
      <c r="H21" s="26">
        <f t="shared" si="1"/>
        <v>21</v>
      </c>
      <c r="I21" s="29">
        <f t="shared" si="4"/>
        <v>2225</v>
      </c>
      <c r="J21" s="21">
        <f t="shared" si="2"/>
        <v>0</v>
      </c>
      <c r="K21" s="22">
        <f t="shared" si="5"/>
        <v>0</v>
      </c>
      <c r="L21" s="22">
        <f t="shared" si="12"/>
        <v>66</v>
      </c>
      <c r="M21" s="22" t="str">
        <f t="shared" si="6"/>
        <v>کار معمولی + اضافه کاری</v>
      </c>
      <c r="N21" s="23">
        <f t="shared" si="7"/>
        <v>50050</v>
      </c>
      <c r="O21" s="24">
        <v>0</v>
      </c>
      <c r="P21" s="24">
        <f t="shared" si="8"/>
        <v>15400</v>
      </c>
      <c r="Q21" s="24">
        <f>Z21*$C$22*R21</f>
        <v>34650</v>
      </c>
      <c r="R21" s="30">
        <v>154</v>
      </c>
      <c r="S21" s="22">
        <f t="shared" si="9"/>
        <v>155</v>
      </c>
      <c r="T21" s="26">
        <f t="shared" si="3"/>
        <v>0</v>
      </c>
      <c r="U21" s="26">
        <f t="shared" si="10"/>
        <v>0</v>
      </c>
      <c r="V21" s="25">
        <f>_xlfn.CEILING.MATH(W21*($C$27/60))</f>
        <v>34716</v>
      </c>
      <c r="W21" s="30">
        <v>18936</v>
      </c>
      <c r="X21" s="21">
        <v>19127</v>
      </c>
      <c r="Y21" s="26">
        <f t="shared" si="11"/>
        <v>191</v>
      </c>
      <c r="Z21" s="23">
        <v>25</v>
      </c>
      <c r="AA21" s="18" t="s">
        <v>9</v>
      </c>
    </row>
    <row r="22" spans="2:27" ht="18.75" x14ac:dyDescent="0.45">
      <c r="B22" s="33" t="s">
        <v>28</v>
      </c>
      <c r="C22" s="35">
        <v>9</v>
      </c>
      <c r="E22" s="22">
        <f t="shared" si="0"/>
        <v>0</v>
      </c>
      <c r="F22" s="21">
        <f t="shared" si="15"/>
        <v>0</v>
      </c>
      <c r="G22" s="22">
        <f t="shared" si="16"/>
        <v>0</v>
      </c>
      <c r="H22" s="22">
        <f t="shared" si="1"/>
        <v>0</v>
      </c>
      <c r="I22" s="29">
        <f t="shared" si="4"/>
        <v>-4112</v>
      </c>
      <c r="J22" s="22">
        <f t="shared" si="2"/>
        <v>68150000</v>
      </c>
      <c r="K22" s="22">
        <f t="shared" si="5"/>
        <v>4700</v>
      </c>
      <c r="L22" s="22">
        <f t="shared" si="12"/>
        <v>0</v>
      </c>
      <c r="M22" s="22" t="str">
        <f t="shared" si="6"/>
        <v>کار معمولی</v>
      </c>
      <c r="N22" s="23">
        <f t="shared" si="7"/>
        <v>46046</v>
      </c>
      <c r="O22" s="24">
        <v>0</v>
      </c>
      <c r="P22" s="24">
        <f t="shared" si="8"/>
        <v>14168</v>
      </c>
      <c r="Q22" s="24">
        <f t="shared" si="13"/>
        <v>31878</v>
      </c>
      <c r="R22" s="30">
        <v>154</v>
      </c>
      <c r="S22" s="22">
        <f t="shared" si="9"/>
        <v>132</v>
      </c>
      <c r="T22" s="26">
        <f t="shared" si="3"/>
        <v>0</v>
      </c>
      <c r="U22" s="26">
        <f t="shared" si="10"/>
        <v>0</v>
      </c>
      <c r="V22" s="25">
        <f t="shared" si="14"/>
        <v>27178</v>
      </c>
      <c r="W22" s="30">
        <v>14824</v>
      </c>
      <c r="X22" s="22">
        <v>14824</v>
      </c>
      <c r="Y22" s="22">
        <f t="shared" si="11"/>
        <v>0</v>
      </c>
      <c r="Z22" s="23">
        <v>23</v>
      </c>
      <c r="AA22" s="17" t="s">
        <v>10</v>
      </c>
    </row>
    <row r="23" spans="2:27" ht="18.75" x14ac:dyDescent="0.45">
      <c r="B23" s="33" t="s">
        <v>30</v>
      </c>
      <c r="C23" s="35">
        <v>4</v>
      </c>
      <c r="E23" s="22">
        <f t="shared" si="0"/>
        <v>38400000</v>
      </c>
      <c r="F23" s="21">
        <f t="shared" si="15"/>
        <v>2705454.5454545449</v>
      </c>
      <c r="G23" s="22">
        <f t="shared" si="16"/>
        <v>277350000</v>
      </c>
      <c r="H23" s="26">
        <f t="shared" si="1"/>
        <v>43</v>
      </c>
      <c r="I23" s="29">
        <f t="shared" si="4"/>
        <v>8420</v>
      </c>
      <c r="J23" s="21">
        <f t="shared" si="2"/>
        <v>0</v>
      </c>
      <c r="K23" s="22">
        <f t="shared" si="5"/>
        <v>0</v>
      </c>
      <c r="L23" s="22">
        <f t="shared" si="12"/>
        <v>62</v>
      </c>
      <c r="M23" s="22" t="str">
        <f t="shared" si="6"/>
        <v>کار معمولی + اضافه کاری</v>
      </c>
      <c r="N23" s="23">
        <f t="shared" si="7"/>
        <v>61464</v>
      </c>
      <c r="O23" s="24">
        <v>0</v>
      </c>
      <c r="P23" s="24">
        <f t="shared" si="8"/>
        <v>18912</v>
      </c>
      <c r="Q23" s="24">
        <f t="shared" si="13"/>
        <v>42552</v>
      </c>
      <c r="R23" s="30">
        <v>197</v>
      </c>
      <c r="S23" s="22">
        <f t="shared" si="9"/>
        <v>170</v>
      </c>
      <c r="T23" s="26">
        <f>MAX(0,X23-W23-Y23+T22)</f>
        <v>0</v>
      </c>
      <c r="U23" s="26">
        <f>Y12</f>
        <v>2400</v>
      </c>
      <c r="V23" s="25">
        <f>_xlfn.CEILING.MATH(W23*($C$27/60))</f>
        <v>42614</v>
      </c>
      <c r="W23" s="30">
        <v>23244</v>
      </c>
      <c r="X23" s="21">
        <v>20844</v>
      </c>
      <c r="Y23" s="26">
        <f t="shared" si="11"/>
        <v>0</v>
      </c>
      <c r="Z23" s="23">
        <v>24</v>
      </c>
      <c r="AA23" s="18" t="s">
        <v>11</v>
      </c>
    </row>
    <row r="24" spans="2:27" x14ac:dyDescent="0.45">
      <c r="B24" s="36" t="s">
        <v>31</v>
      </c>
      <c r="C24" s="35">
        <v>1000</v>
      </c>
      <c r="E24" s="27">
        <f>SUM(E12:E23)</f>
        <v>41456000</v>
      </c>
      <c r="F24" s="27">
        <f t="shared" ref="F24:G24" si="17">SUM(F12:F23)</f>
        <v>342196363.63636369</v>
      </c>
      <c r="G24" s="27">
        <f t="shared" si="17"/>
        <v>412800000</v>
      </c>
      <c r="H24" s="27"/>
      <c r="I24" s="27"/>
      <c r="J24" s="27">
        <f>SUM(J12:J23)</f>
        <v>509051500</v>
      </c>
      <c r="K24" s="27">
        <f>SUM(J12:J23)</f>
        <v>509051500</v>
      </c>
      <c r="L24" s="27">
        <f>SUM(K12:K23)</f>
        <v>35107</v>
      </c>
      <c r="M24" s="27">
        <f>SUM(L12:L23)</f>
        <v>7842</v>
      </c>
      <c r="N24" s="22"/>
      <c r="O24" s="28"/>
      <c r="P24" s="28"/>
      <c r="Q24" s="28"/>
      <c r="R24" s="28"/>
      <c r="S24" s="27"/>
      <c r="T24" s="27"/>
      <c r="U24" s="27"/>
      <c r="V24" s="27"/>
      <c r="W24" s="27">
        <f>SUM(W12:W23)</f>
        <v>185652</v>
      </c>
      <c r="X24" s="27">
        <f>SUM(X12:X23)</f>
        <v>185652</v>
      </c>
      <c r="Y24" s="27"/>
      <c r="Z24" s="27">
        <f>SUM(Z12:Z23)</f>
        <v>288</v>
      </c>
      <c r="AA24" s="27" t="s">
        <v>47</v>
      </c>
    </row>
    <row r="25" spans="2:27" ht="18" customHeight="1" x14ac:dyDescent="0.45">
      <c r="B25" s="36" t="s">
        <v>68</v>
      </c>
      <c r="C25" s="35">
        <v>500</v>
      </c>
      <c r="E25" s="61">
        <f>E24+F24+G24+J24</f>
        <v>1305503863.6363637</v>
      </c>
      <c r="F25" s="61"/>
      <c r="G25" s="61"/>
      <c r="H25" s="61"/>
      <c r="I25" s="61"/>
      <c r="J25" s="63" t="s">
        <v>76</v>
      </c>
      <c r="K25" s="6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>
        <f>AVERAGE(X12:X23)</f>
        <v>15471</v>
      </c>
      <c r="Z25" s="15"/>
      <c r="AA25" s="15"/>
    </row>
    <row r="26" spans="2:27" ht="18.75" customHeight="1" thickBot="1" x14ac:dyDescent="0.5">
      <c r="B26" s="33" t="s">
        <v>38</v>
      </c>
      <c r="C26" s="35">
        <v>0</v>
      </c>
      <c r="E26" s="62"/>
      <c r="F26" s="62"/>
      <c r="G26" s="62"/>
      <c r="H26" s="62"/>
      <c r="I26" s="62"/>
      <c r="J26" s="64"/>
      <c r="K26" s="64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32.25" thickBot="1" x14ac:dyDescent="0.8">
      <c r="B27" s="33" t="s">
        <v>34</v>
      </c>
      <c r="C27" s="35">
        <v>110</v>
      </c>
      <c r="E27" s="41">
        <f>E24/$E$25</f>
        <v>3.1754789207998235E-2</v>
      </c>
      <c r="F27" s="42">
        <f t="shared" ref="F27:G27" si="18">F24/$E$25</f>
        <v>0.26211823125762834</v>
      </c>
      <c r="G27" s="42">
        <f t="shared" si="18"/>
        <v>0.31619975359565977</v>
      </c>
      <c r="H27" s="39"/>
      <c r="I27" s="39"/>
      <c r="J27" s="40">
        <f t="shared" ref="J27" si="19">J24/$E$25</f>
        <v>0.38992722593871365</v>
      </c>
    </row>
    <row r="28" spans="2:27" ht="18" customHeight="1" x14ac:dyDescent="0.45">
      <c r="B28" s="33" t="s">
        <v>35</v>
      </c>
      <c r="C28" s="35">
        <v>133</v>
      </c>
      <c r="E28" s="61">
        <f>W24*C11</f>
        <v>161517240000</v>
      </c>
      <c r="F28" s="61"/>
      <c r="G28" s="61"/>
      <c r="H28" s="61"/>
      <c r="I28" s="61"/>
      <c r="J28" s="63" t="s">
        <v>75</v>
      </c>
      <c r="K28" s="63"/>
      <c r="P28" s="19"/>
    </row>
    <row r="29" spans="2:27" ht="18.75" customHeight="1" thickBot="1" x14ac:dyDescent="0.5">
      <c r="B29" s="37" t="s">
        <v>58</v>
      </c>
      <c r="C29" s="38">
        <v>2400</v>
      </c>
      <c r="E29" s="62"/>
      <c r="F29" s="62"/>
      <c r="G29" s="62"/>
      <c r="H29" s="62"/>
      <c r="I29" s="62"/>
      <c r="J29" s="64"/>
      <c r="K29" s="64"/>
    </row>
    <row r="30" spans="2:27" x14ac:dyDescent="0.45">
      <c r="E30" s="61">
        <f>E28+E25</f>
        <v>162822743863.63635</v>
      </c>
      <c r="F30" s="61"/>
      <c r="G30" s="61"/>
      <c r="H30" s="61"/>
      <c r="I30" s="61"/>
      <c r="J30" s="63" t="s">
        <v>47</v>
      </c>
      <c r="K30" s="63"/>
    </row>
    <row r="31" spans="2:27" x14ac:dyDescent="0.45">
      <c r="E31" s="62"/>
      <c r="F31" s="62"/>
      <c r="G31" s="62"/>
      <c r="H31" s="62"/>
      <c r="I31" s="62"/>
      <c r="J31" s="64"/>
      <c r="K31" s="64"/>
    </row>
  </sheetData>
  <sheetProtection algorithmName="SHA-512" hashValue="xZihYwMugvVCLGFyaOM2Wapg+CH8qYEcfLU6hG2/nv9iF0G/gSpxzE7bXGBRD9W/AKtmp+CEHq0SaofvpNfGHQ==" saltValue="4vBPWIdvPibdauNByYpR1A==" spinCount="100000" sheet="1" objects="1" scenarios="1"/>
  <mergeCells count="27">
    <mergeCell ref="G7:H7"/>
    <mergeCell ref="E8:E10"/>
    <mergeCell ref="F8:F10"/>
    <mergeCell ref="G8:G10"/>
    <mergeCell ref="H8:H10"/>
    <mergeCell ref="Z8:Z10"/>
    <mergeCell ref="E25:I26"/>
    <mergeCell ref="J25:K26"/>
    <mergeCell ref="K4:R6"/>
    <mergeCell ref="P8:P10"/>
    <mergeCell ref="Q8:Q10"/>
    <mergeCell ref="R8:R10"/>
    <mergeCell ref="S8:S10"/>
    <mergeCell ref="T8:T10"/>
    <mergeCell ref="V8:V10"/>
    <mergeCell ref="J8:J10"/>
    <mergeCell ref="K8:K10"/>
    <mergeCell ref="L8:L10"/>
    <mergeCell ref="M8:M10"/>
    <mergeCell ref="N8:N10"/>
    <mergeCell ref="O8:O10"/>
    <mergeCell ref="E28:I29"/>
    <mergeCell ref="J28:K29"/>
    <mergeCell ref="E30:I31"/>
    <mergeCell ref="J30:K31"/>
    <mergeCell ref="Y8:Y10"/>
    <mergeCell ref="I8:I10"/>
  </mergeCells>
  <conditionalFormatting sqref="Q12:Q23">
    <cfRule type="expression" dxfId="56" priority="18">
      <formula>IF(Q12&lt;V12,1,0)</formula>
    </cfRule>
  </conditionalFormatting>
  <conditionalFormatting sqref="N12:N23">
    <cfRule type="expression" dxfId="55" priority="17">
      <formula>IF(N12&gt;V12,1,0)</formula>
    </cfRule>
  </conditionalFormatting>
  <conditionalFormatting sqref="H12:H23">
    <cfRule type="cellIs" dxfId="54" priority="14" operator="lessThan">
      <formula>0</formula>
    </cfRule>
    <cfRule type="cellIs" dxfId="53" priority="16" operator="greaterThan">
      <formula>0</formula>
    </cfRule>
  </conditionalFormatting>
  <conditionalFormatting sqref="G12:G23">
    <cfRule type="expression" dxfId="52" priority="15">
      <formula>IF(H12&lt;0,1,0)</formula>
    </cfRule>
  </conditionalFormatting>
  <conditionalFormatting sqref="H24 G12:G23">
    <cfRule type="expression" dxfId="51" priority="13">
      <formula>IF(H12&gt;0,1,0)</formula>
    </cfRule>
  </conditionalFormatting>
  <conditionalFormatting sqref="H12:H23">
    <cfRule type="expression" dxfId="50" priority="19">
      <formula>IF(J12&lt;0,1,0)</formula>
    </cfRule>
  </conditionalFormatting>
  <conditionalFormatting sqref="I12:I23">
    <cfRule type="cellIs" dxfId="49" priority="1" operator="equal">
      <formula>0</formula>
    </cfRule>
    <cfRule type="cellIs" dxfId="48" priority="12" operator="between">
      <formula>$C$25-1</formula>
      <formula>-$C$25+1</formula>
    </cfRule>
  </conditionalFormatting>
  <conditionalFormatting sqref="T12:T23">
    <cfRule type="cellIs" dxfId="47" priority="11" operator="greaterThan">
      <formula>$C$15</formula>
    </cfRule>
  </conditionalFormatting>
  <conditionalFormatting sqref="U11:U23">
    <cfRule type="cellIs" dxfId="46" priority="10" operator="greaterThan">
      <formula>$C$16</formula>
    </cfRule>
  </conditionalFormatting>
  <conditionalFormatting sqref="Y12:Y23">
    <cfRule type="cellIs" dxfId="45" priority="9" operator="lessThan">
      <formula>$C$26</formula>
    </cfRule>
  </conditionalFormatting>
  <conditionalFormatting sqref="Z12:Z23">
    <cfRule type="cellIs" dxfId="44" priority="8" operator="between">
      <formula>15</formula>
      <formula>28</formula>
    </cfRule>
  </conditionalFormatting>
  <conditionalFormatting sqref="W24:X24">
    <cfRule type="cellIs" dxfId="43" priority="7" operator="notEqual">
      <formula>$X$24</formula>
    </cfRule>
  </conditionalFormatting>
  <conditionalFormatting sqref="V12:V23">
    <cfRule type="expression" dxfId="42" priority="6">
      <formula>IF(N12&lt;V12,1,0)</formula>
    </cfRule>
  </conditionalFormatting>
  <conditionalFormatting sqref="E12:E23">
    <cfRule type="expression" dxfId="41" priority="4">
      <formula>IF(U12&gt;0,1,0)</formula>
    </cfRule>
    <cfRule type="expression" dxfId="40" priority="5">
      <formula>IF(T12&gt;0,1,0)</formula>
    </cfRule>
  </conditionalFormatting>
  <conditionalFormatting sqref="F12:F23">
    <cfRule type="cellIs" dxfId="39" priority="3" operator="greaterThan">
      <formula>0</formula>
    </cfRule>
  </conditionalFormatting>
  <conditionalFormatting sqref="J12:J23">
    <cfRule type="cellIs" dxfId="38" priority="2" operator="greaterThan">
      <formula>0</formula>
    </cfRule>
  </conditionalFormatting>
  <dataValidations count="1">
    <dataValidation type="whole" allowBlank="1" showInputMessage="1" showErrorMessage="1" sqref="R12:R23" xr:uid="{00000000-0002-0000-0500-000000000000}">
      <formula1>$C$20</formula1>
      <formula2>$C$21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E31"/>
  <sheetViews>
    <sheetView showGridLines="0" topLeftCell="G1" zoomScale="85" zoomScaleNormal="85" workbookViewId="0"/>
  </sheetViews>
  <sheetFormatPr defaultColWidth="9" defaultRowHeight="18" x14ac:dyDescent="0.45"/>
  <cols>
    <col min="1" max="1" width="9" style="14" customWidth="1"/>
    <col min="2" max="2" width="25.5" style="14" bestFit="1" customWidth="1"/>
    <col min="3" max="3" width="16.125" style="14" bestFit="1" customWidth="1"/>
    <col min="4" max="4" width="9" style="14" customWidth="1"/>
    <col min="5" max="7" width="14.875" style="14" bestFit="1" customWidth="1"/>
    <col min="8" max="8" width="11.375" style="14" bestFit="1" customWidth="1"/>
    <col min="9" max="9" width="8" style="14" bestFit="1" customWidth="1"/>
    <col min="10" max="10" width="14.875" style="14" bestFit="1" customWidth="1"/>
    <col min="11" max="11" width="17.625" style="14" bestFit="1" customWidth="1"/>
    <col min="12" max="12" width="14.875" style="14" bestFit="1" customWidth="1"/>
    <col min="13" max="13" width="20.125" style="14" bestFit="1" customWidth="1"/>
    <col min="14" max="14" width="16.375" style="14" bestFit="1" customWidth="1"/>
    <col min="15" max="15" width="21.125" style="14" bestFit="1" customWidth="1"/>
    <col min="16" max="16" width="22" style="14" bestFit="1" customWidth="1"/>
    <col min="17" max="17" width="23.875" style="14" bestFit="1" customWidth="1"/>
    <col min="18" max="18" width="14.25" style="14" bestFit="1" customWidth="1"/>
    <col min="19" max="19" width="11.75" style="14" bestFit="1" customWidth="1"/>
    <col min="20" max="20" width="6.125" style="14" bestFit="1" customWidth="1"/>
    <col min="21" max="21" width="9.5" style="14" bestFit="1" customWidth="1"/>
    <col min="22" max="22" width="12.625" style="14" bestFit="1" customWidth="1"/>
    <col min="23" max="24" width="10.5" style="14" bestFit="1" customWidth="1"/>
    <col min="25" max="25" width="9.5" style="14" bestFit="1" customWidth="1"/>
    <col min="26" max="26" width="10.5" style="14" bestFit="1" customWidth="1"/>
    <col min="27" max="27" width="12" style="14" bestFit="1" customWidth="1"/>
    <col min="28" max="16384" width="9" style="14"/>
  </cols>
  <sheetData>
    <row r="1" spans="1:31" customFormat="1" ht="39.75" customHeight="1" x14ac:dyDescent="0.2">
      <c r="A1" s="51" t="str">
        <f>"                     ‌Production Planning  (Saya Oven Toaster (پارس خزر))       -     "</f>
        <v xml:space="preserve">                     ‌Production Planning  (Saya Oven Toaster (پارس خزر))       -     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5" spans="1:31" x14ac:dyDescent="0.45">
      <c r="M5" s="73" t="s">
        <v>74</v>
      </c>
      <c r="N5" s="73"/>
      <c r="O5" s="73"/>
      <c r="P5" s="73"/>
      <c r="Q5" s="73"/>
      <c r="R5" s="73"/>
    </row>
    <row r="6" spans="1:31" x14ac:dyDescent="0.45">
      <c r="M6" s="73"/>
      <c r="N6" s="73"/>
      <c r="O6" s="73"/>
      <c r="P6" s="73"/>
      <c r="Q6" s="73"/>
      <c r="R6" s="73"/>
    </row>
    <row r="7" spans="1:31" x14ac:dyDescent="0.45">
      <c r="G7" s="70" t="s">
        <v>66</v>
      </c>
      <c r="H7" s="70"/>
    </row>
    <row r="8" spans="1:31" ht="36.75" thickBot="1" x14ac:dyDescent="0.5">
      <c r="E8" s="65" t="s">
        <v>71</v>
      </c>
      <c r="F8" s="65" t="s">
        <v>72</v>
      </c>
      <c r="G8" s="65" t="s">
        <v>67</v>
      </c>
      <c r="H8" s="65" t="s">
        <v>16</v>
      </c>
      <c r="I8" s="65" t="s">
        <v>69</v>
      </c>
      <c r="J8" s="65" t="s">
        <v>45</v>
      </c>
      <c r="K8" s="65" t="s">
        <v>44</v>
      </c>
      <c r="L8" s="65" t="s">
        <v>42</v>
      </c>
      <c r="M8" s="65" t="s">
        <v>65</v>
      </c>
      <c r="N8" s="69" t="s">
        <v>64</v>
      </c>
      <c r="O8" s="69" t="s">
        <v>63</v>
      </c>
      <c r="P8" s="69" t="s">
        <v>62</v>
      </c>
      <c r="Q8" s="69" t="s">
        <v>61</v>
      </c>
      <c r="R8" s="68" t="s">
        <v>54</v>
      </c>
      <c r="S8" s="65" t="s">
        <v>15</v>
      </c>
      <c r="T8" s="65" t="s">
        <v>41</v>
      </c>
      <c r="U8" s="44" t="s">
        <v>14</v>
      </c>
      <c r="V8" s="65" t="s">
        <v>60</v>
      </c>
      <c r="W8" s="44" t="s">
        <v>13</v>
      </c>
      <c r="X8" s="44" t="s">
        <v>40</v>
      </c>
      <c r="Y8" s="65" t="s">
        <v>12</v>
      </c>
      <c r="Z8" s="65" t="s">
        <v>39</v>
      </c>
      <c r="AA8" s="44" t="s">
        <v>48</v>
      </c>
    </row>
    <row r="9" spans="1:31" x14ac:dyDescent="0.45">
      <c r="B9" s="31" t="s">
        <v>57</v>
      </c>
      <c r="C9" s="32" t="s">
        <v>37</v>
      </c>
      <c r="E9" s="66"/>
      <c r="F9" s="66"/>
      <c r="G9" s="66"/>
      <c r="H9" s="66"/>
      <c r="I9" s="66"/>
      <c r="J9" s="66"/>
      <c r="K9" s="66"/>
      <c r="L9" s="66"/>
      <c r="M9" s="66"/>
      <c r="N9" s="69"/>
      <c r="O9" s="69"/>
      <c r="P9" s="69"/>
      <c r="Q9" s="69"/>
      <c r="R9" s="68"/>
      <c r="S9" s="66"/>
      <c r="T9" s="66"/>
      <c r="U9" s="45"/>
      <c r="V9" s="66"/>
      <c r="W9" s="45"/>
      <c r="X9" s="45"/>
      <c r="Y9" s="66"/>
      <c r="Z9" s="66"/>
      <c r="AA9" s="45"/>
    </row>
    <row r="10" spans="1:31" x14ac:dyDescent="0.45">
      <c r="B10" s="33" t="s">
        <v>56</v>
      </c>
      <c r="C10" s="34">
        <f>C12-C11</f>
        <v>80000</v>
      </c>
      <c r="E10" s="67"/>
      <c r="F10" s="67"/>
      <c r="G10" s="67"/>
      <c r="H10" s="67"/>
      <c r="I10" s="67"/>
      <c r="J10" s="67"/>
      <c r="K10" s="67"/>
      <c r="L10" s="67"/>
      <c r="M10" s="67"/>
      <c r="N10" s="69"/>
      <c r="O10" s="69"/>
      <c r="P10" s="69"/>
      <c r="Q10" s="69"/>
      <c r="R10" s="68"/>
      <c r="S10" s="67"/>
      <c r="T10" s="67"/>
      <c r="U10" s="46"/>
      <c r="V10" s="67"/>
      <c r="W10" s="46"/>
      <c r="X10" s="46"/>
      <c r="Y10" s="67"/>
      <c r="Z10" s="67"/>
      <c r="AA10" s="46"/>
    </row>
    <row r="11" spans="1:31" x14ac:dyDescent="0.45">
      <c r="B11" s="33" t="s">
        <v>22</v>
      </c>
      <c r="C11" s="35">
        <v>870000</v>
      </c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1"/>
      <c r="P11" s="21"/>
      <c r="Q11" s="21"/>
      <c r="R11" s="21">
        <v>133</v>
      </c>
      <c r="S11" s="21"/>
      <c r="T11" s="20"/>
      <c r="U11" s="20"/>
      <c r="V11" s="20"/>
      <c r="W11" s="20">
        <f>X24/12</f>
        <v>15471</v>
      </c>
      <c r="X11" s="20"/>
      <c r="Y11" s="20"/>
      <c r="Z11" s="20"/>
      <c r="AA11" s="16"/>
    </row>
    <row r="12" spans="1:31" ht="18.75" x14ac:dyDescent="0.45">
      <c r="B12" s="33" t="s">
        <v>23</v>
      </c>
      <c r="C12" s="35">
        <v>950000</v>
      </c>
      <c r="E12" s="22">
        <f t="shared" ref="E12:E23" si="0">MAX(T12*$C$14,U12*$C$13)</f>
        <v>50208000</v>
      </c>
      <c r="F12" s="21">
        <f>L12*(60/$C$27)*$C$10</f>
        <v>123490909.09090908</v>
      </c>
      <c r="G12" s="22">
        <f>IF(H12&gt;=0,H12*$C$18,ABS(H12*$C$19))</f>
        <v>45150000</v>
      </c>
      <c r="H12" s="22">
        <f t="shared" ref="H12:H23" si="1">R12-R11</f>
        <v>7</v>
      </c>
      <c r="I12" s="29">
        <f>W12-W11</f>
        <v>505</v>
      </c>
      <c r="J12" s="22">
        <f t="shared" ref="J12:J23" si="2">K12*$C$17</f>
        <v>0</v>
      </c>
      <c r="K12" s="22">
        <f>MAX(0,Q12-V12)</f>
        <v>0</v>
      </c>
      <c r="L12" s="22">
        <f>MIN(MAX(0,V12-Q12),P12)</f>
        <v>2830</v>
      </c>
      <c r="M12" s="22" t="str">
        <f>IF(V12&lt;Q12,"کار معمولی",IF(V12&lt;Q12+P12,"کار معمولی + اضافه کاری","کار معمولی، اضافه‌کاری و پیمانکاری"))</f>
        <v>کار معمولی + اضافه کاری</v>
      </c>
      <c r="N12" s="23">
        <f>O12+P12+Q12</f>
        <v>38220</v>
      </c>
      <c r="O12" s="24">
        <v>0</v>
      </c>
      <c r="P12" s="24">
        <f>Z12*$C$23*R12</f>
        <v>11760</v>
      </c>
      <c r="Q12" s="24">
        <f>Z12*$C$22*R12</f>
        <v>26460</v>
      </c>
      <c r="R12" s="30">
        <v>140</v>
      </c>
      <c r="S12" s="22">
        <f>MIN(_xlfn.CEILING.MATH(V12/(Z12*$C$22)),$C$21)</f>
        <v>155</v>
      </c>
      <c r="T12" s="26">
        <f t="shared" ref="T12:T22" si="3">MAX(0,X12-W12-Y12+T11)</f>
        <v>0</v>
      </c>
      <c r="U12" s="26">
        <f>MAX(0,W12-X12+Y12-T11)</f>
        <v>3138</v>
      </c>
      <c r="V12" s="25">
        <f>_xlfn.CEILING.MATH(W12*($C$27/60))</f>
        <v>29290</v>
      </c>
      <c r="W12" s="30">
        <v>15976</v>
      </c>
      <c r="X12" s="22">
        <v>15238</v>
      </c>
      <c r="Y12" s="22">
        <f>C29</f>
        <v>2400</v>
      </c>
      <c r="Z12" s="23">
        <v>21</v>
      </c>
      <c r="AA12" s="17" t="s">
        <v>0</v>
      </c>
    </row>
    <row r="13" spans="1:31" ht="18.75" x14ac:dyDescent="0.45">
      <c r="B13" s="33" t="s">
        <v>59</v>
      </c>
      <c r="C13" s="35">
        <v>16000</v>
      </c>
      <c r="E13" s="22">
        <f t="shared" si="0"/>
        <v>34928000</v>
      </c>
      <c r="F13" s="21">
        <f>L13*(60/$C$27)*$C$10</f>
        <v>111447272.72727272</v>
      </c>
      <c r="G13" s="22">
        <f>IF(H13&gt;=0,H13*$C$18,ABS(H13*$C$19))</f>
        <v>0</v>
      </c>
      <c r="H13" s="26">
        <f t="shared" si="1"/>
        <v>0</v>
      </c>
      <c r="I13" s="29">
        <f t="shared" ref="I13:I23" si="4">W13-W12</f>
        <v>1224</v>
      </c>
      <c r="J13" s="21">
        <f t="shared" si="2"/>
        <v>0</v>
      </c>
      <c r="K13" s="22">
        <f t="shared" ref="K13:K23" si="5">MAX(0,Q13-V13)</f>
        <v>0</v>
      </c>
      <c r="L13" s="22">
        <f>MIN(MAX(0,V13-Q13),P13)</f>
        <v>2554</v>
      </c>
      <c r="M13" s="22" t="str">
        <f t="shared" ref="M13:M23" si="6">IF(V13&lt;Q13,"کار معمولی",IF(V13&lt;Q13+P13,"کار معمولی + اضافه کاری","کار معمولی، اضافه‌کاری و پیمانکاری"))</f>
        <v>کار معمولی + اضافه کاری</v>
      </c>
      <c r="N13" s="23">
        <f t="shared" ref="N13:N23" si="7">O13+P13+Q13</f>
        <v>41860</v>
      </c>
      <c r="O13" s="24">
        <v>0</v>
      </c>
      <c r="P13" s="24">
        <f t="shared" ref="P13:P23" si="8">Z13*$C$23*R13</f>
        <v>12880</v>
      </c>
      <c r="Q13" s="24">
        <f>Z13*$C$22*R13</f>
        <v>28980</v>
      </c>
      <c r="R13" s="30">
        <v>140</v>
      </c>
      <c r="S13" s="22">
        <f t="shared" ref="S13:S23" si="9">MIN(_xlfn.CEILING.MATH(V13/(Z13*$C$22)),$C$21)</f>
        <v>153</v>
      </c>
      <c r="T13" s="26">
        <f t="shared" si="3"/>
        <v>0</v>
      </c>
      <c r="U13" s="26">
        <f t="shared" ref="U13:U22" si="10">MAX(0,W13-X13+Y13-T12)</f>
        <v>2183</v>
      </c>
      <c r="V13" s="25">
        <f>_xlfn.CEILING.MATH(W13*($C$27/60))</f>
        <v>31534</v>
      </c>
      <c r="W13" s="30">
        <v>17200</v>
      </c>
      <c r="X13" s="21">
        <v>18155</v>
      </c>
      <c r="Y13" s="26">
        <f t="shared" ref="Y13:Y23" si="11">U12</f>
        <v>3138</v>
      </c>
      <c r="Z13" s="23">
        <v>23</v>
      </c>
      <c r="AA13" s="18" t="s">
        <v>1</v>
      </c>
    </row>
    <row r="14" spans="1:31" ht="18.75" x14ac:dyDescent="0.45">
      <c r="B14" s="33" t="s">
        <v>25</v>
      </c>
      <c r="C14" s="35">
        <v>255000</v>
      </c>
      <c r="E14" s="22">
        <f t="shared" si="0"/>
        <v>52000000</v>
      </c>
      <c r="F14" s="21">
        <f>L14*(60/$C$27)*$C$10</f>
        <v>0</v>
      </c>
      <c r="G14" s="22">
        <f>IF(H14&gt;=0,H14*$C$18,ABS(H14*$C$19))</f>
        <v>2300000</v>
      </c>
      <c r="H14" s="22">
        <f t="shared" si="1"/>
        <v>-1</v>
      </c>
      <c r="I14" s="29">
        <f>W14-W13</f>
        <v>-4950</v>
      </c>
      <c r="J14" s="22">
        <f>K14*$C$17</f>
        <v>109692500</v>
      </c>
      <c r="K14" s="22">
        <f t="shared" si="5"/>
        <v>7565</v>
      </c>
      <c r="L14" s="22">
        <f t="shared" ref="L14:L23" si="12">MIN(MAX(0,V14-Q14),P14)</f>
        <v>0</v>
      </c>
      <c r="M14" s="22" t="str">
        <f t="shared" si="6"/>
        <v>کار معمولی</v>
      </c>
      <c r="N14" s="23">
        <f t="shared" si="7"/>
        <v>43368</v>
      </c>
      <c r="O14" s="24">
        <v>0</v>
      </c>
      <c r="P14" s="24">
        <f t="shared" si="8"/>
        <v>13344</v>
      </c>
      <c r="Q14" s="24">
        <f t="shared" ref="Q14:Q23" si="13">Z14*$C$22*R14</f>
        <v>30024</v>
      </c>
      <c r="R14" s="30">
        <v>139</v>
      </c>
      <c r="S14" s="22">
        <f t="shared" si="9"/>
        <v>104</v>
      </c>
      <c r="T14" s="26">
        <f t="shared" si="3"/>
        <v>0</v>
      </c>
      <c r="U14" s="26">
        <f t="shared" si="10"/>
        <v>3250</v>
      </c>
      <c r="V14" s="25">
        <f t="shared" ref="V14:V22" si="14">_xlfn.CEILING.MATH(W14*($C$27/60))</f>
        <v>22459</v>
      </c>
      <c r="W14" s="30">
        <v>12250</v>
      </c>
      <c r="X14" s="22">
        <v>11183</v>
      </c>
      <c r="Y14" s="22">
        <f t="shared" si="11"/>
        <v>2183</v>
      </c>
      <c r="Z14" s="23">
        <v>24</v>
      </c>
      <c r="AA14" s="17" t="s">
        <v>2</v>
      </c>
    </row>
    <row r="15" spans="1:31" ht="18.75" x14ac:dyDescent="0.45">
      <c r="B15" s="36" t="s">
        <v>32</v>
      </c>
      <c r="C15" s="35">
        <v>1000</v>
      </c>
      <c r="E15" s="22">
        <f t="shared" si="0"/>
        <v>42752000</v>
      </c>
      <c r="F15" s="21">
        <f t="shared" ref="F15:F23" si="15">L15*(60/$C$27)*$C$10</f>
        <v>0</v>
      </c>
      <c r="G15" s="22">
        <f t="shared" ref="G15:G23" si="16">IF(H15&gt;=0,H15*$C$18,ABS(H15*$C$19))</f>
        <v>9200000</v>
      </c>
      <c r="H15" s="26">
        <f t="shared" si="1"/>
        <v>-4</v>
      </c>
      <c r="I15" s="29">
        <f>W15-W14</f>
        <v>0</v>
      </c>
      <c r="J15" s="21">
        <f>K15*$C$17</f>
        <v>132399500</v>
      </c>
      <c r="K15" s="22">
        <f t="shared" si="5"/>
        <v>9131</v>
      </c>
      <c r="L15" s="22">
        <f t="shared" si="12"/>
        <v>0</v>
      </c>
      <c r="M15" s="22" t="str">
        <f t="shared" si="6"/>
        <v>کار معمولی</v>
      </c>
      <c r="N15" s="23">
        <f t="shared" si="7"/>
        <v>45630</v>
      </c>
      <c r="O15" s="24">
        <v>0</v>
      </c>
      <c r="P15" s="24">
        <f t="shared" si="8"/>
        <v>14040</v>
      </c>
      <c r="Q15" s="24">
        <f t="shared" si="13"/>
        <v>31590</v>
      </c>
      <c r="R15" s="30">
        <v>135</v>
      </c>
      <c r="S15" s="22">
        <f t="shared" si="9"/>
        <v>96</v>
      </c>
      <c r="T15" s="26">
        <f t="shared" si="3"/>
        <v>0</v>
      </c>
      <c r="U15" s="26">
        <f t="shared" si="10"/>
        <v>2672</v>
      </c>
      <c r="V15" s="25">
        <f>_xlfn.CEILING.MATH(W15*($C$27/60))</f>
        <v>22459</v>
      </c>
      <c r="W15" s="30">
        <v>12250</v>
      </c>
      <c r="X15" s="21">
        <v>12828</v>
      </c>
      <c r="Y15" s="26">
        <f t="shared" si="11"/>
        <v>3250</v>
      </c>
      <c r="Z15" s="23">
        <v>26</v>
      </c>
      <c r="AA15" s="18" t="s">
        <v>3</v>
      </c>
    </row>
    <row r="16" spans="1:31" ht="18.75" x14ac:dyDescent="0.45">
      <c r="B16" s="33" t="s">
        <v>70</v>
      </c>
      <c r="C16" s="35">
        <v>10000</v>
      </c>
      <c r="E16" s="22">
        <f t="shared" si="0"/>
        <v>33376000</v>
      </c>
      <c r="F16" s="21">
        <f>L16*(60/$C$27)*$C$10</f>
        <v>20596363.636363637</v>
      </c>
      <c r="G16" s="22">
        <f t="shared" si="16"/>
        <v>0</v>
      </c>
      <c r="H16" s="22">
        <f t="shared" si="1"/>
        <v>0</v>
      </c>
      <c r="I16" s="29">
        <f t="shared" si="4"/>
        <v>3250</v>
      </c>
      <c r="J16" s="22">
        <f t="shared" si="2"/>
        <v>0</v>
      </c>
      <c r="K16" s="22">
        <f>MAX(0,Q16-V16)</f>
        <v>0</v>
      </c>
      <c r="L16" s="22">
        <f>MIN(MAX(0,V16-Q16),P16)</f>
        <v>472</v>
      </c>
      <c r="M16" s="22" t="str">
        <f>IF(V16&lt;Q16,"کار معمولی",IF(V16&lt;Q16+P16,"کار معمولی + اضافه کاری","کار معمولی، اضافه‌کاری و پیمانکاری"))</f>
        <v>کار معمولی + اضافه کاری</v>
      </c>
      <c r="N16" s="23">
        <f>O16+P16+Q16</f>
        <v>40365</v>
      </c>
      <c r="O16" s="24">
        <v>0</v>
      </c>
      <c r="P16" s="24">
        <f>Z16*$C$23*R16</f>
        <v>12420</v>
      </c>
      <c r="Q16" s="24">
        <f>Z16*$C$22*R16</f>
        <v>27945</v>
      </c>
      <c r="R16" s="30">
        <v>135</v>
      </c>
      <c r="S16" s="22">
        <f>MIN(_xlfn.CEILING.MATH(V16/(Z16*$C$22)),$C$21)</f>
        <v>138</v>
      </c>
      <c r="T16" s="26">
        <f>MAX(0,X16-W16-Y16+T15)</f>
        <v>0</v>
      </c>
      <c r="U16" s="26">
        <f t="shared" si="10"/>
        <v>2086</v>
      </c>
      <c r="V16" s="25">
        <f>_xlfn.CEILING.MATH(W16*($C$27/60))</f>
        <v>28417</v>
      </c>
      <c r="W16" s="30">
        <v>15500</v>
      </c>
      <c r="X16" s="22">
        <v>16086</v>
      </c>
      <c r="Y16" s="22">
        <f t="shared" si="11"/>
        <v>2672</v>
      </c>
      <c r="Z16" s="23">
        <v>23</v>
      </c>
      <c r="AA16" s="17" t="s">
        <v>4</v>
      </c>
    </row>
    <row r="17" spans="2:27" ht="18.75" x14ac:dyDescent="0.45">
      <c r="B17" s="33" t="s">
        <v>46</v>
      </c>
      <c r="C17" s="35">
        <v>14500</v>
      </c>
      <c r="E17" s="22">
        <f t="shared" si="0"/>
        <v>32464000</v>
      </c>
      <c r="F17" s="21">
        <f t="shared" si="15"/>
        <v>0</v>
      </c>
      <c r="G17" s="22">
        <f t="shared" si="16"/>
        <v>0</v>
      </c>
      <c r="H17" s="26">
        <f t="shared" si="1"/>
        <v>0</v>
      </c>
      <c r="I17" s="29">
        <f t="shared" si="4"/>
        <v>-1650</v>
      </c>
      <c r="J17" s="21">
        <f t="shared" si="2"/>
        <v>107488500</v>
      </c>
      <c r="K17" s="22">
        <f t="shared" si="5"/>
        <v>7413</v>
      </c>
      <c r="L17" s="22">
        <f t="shared" si="12"/>
        <v>0</v>
      </c>
      <c r="M17" s="22" t="str">
        <f t="shared" si="6"/>
        <v>کار معمولی</v>
      </c>
      <c r="N17" s="23">
        <f t="shared" si="7"/>
        <v>47385</v>
      </c>
      <c r="O17" s="24">
        <v>0</v>
      </c>
      <c r="P17" s="24">
        <f t="shared" si="8"/>
        <v>14580</v>
      </c>
      <c r="Q17" s="24">
        <f t="shared" si="13"/>
        <v>32805</v>
      </c>
      <c r="R17" s="30">
        <v>135</v>
      </c>
      <c r="S17" s="22">
        <f t="shared" si="9"/>
        <v>105</v>
      </c>
      <c r="T17" s="26">
        <f t="shared" si="3"/>
        <v>0</v>
      </c>
      <c r="U17" s="26">
        <f t="shared" si="10"/>
        <v>2029</v>
      </c>
      <c r="V17" s="25">
        <f t="shared" si="14"/>
        <v>25392</v>
      </c>
      <c r="W17" s="30">
        <v>13850</v>
      </c>
      <c r="X17" s="21">
        <v>13907</v>
      </c>
      <c r="Y17" s="26">
        <f t="shared" si="11"/>
        <v>2086</v>
      </c>
      <c r="Z17" s="23">
        <v>27</v>
      </c>
      <c r="AA17" s="18" t="s">
        <v>5</v>
      </c>
    </row>
    <row r="18" spans="2:27" ht="18.75" x14ac:dyDescent="0.45">
      <c r="B18" s="33" t="s">
        <v>26</v>
      </c>
      <c r="C18" s="35">
        <v>6450000</v>
      </c>
      <c r="E18" s="22">
        <f t="shared" si="0"/>
        <v>82400000</v>
      </c>
      <c r="F18" s="21">
        <f t="shared" si="15"/>
        <v>0</v>
      </c>
      <c r="G18" s="22">
        <f t="shared" si="16"/>
        <v>0</v>
      </c>
      <c r="H18" s="22">
        <f t="shared" si="1"/>
        <v>0</v>
      </c>
      <c r="I18" s="29">
        <f t="shared" si="4"/>
        <v>0</v>
      </c>
      <c r="J18" s="22">
        <f t="shared" si="2"/>
        <v>1783500</v>
      </c>
      <c r="K18" s="22">
        <f t="shared" si="5"/>
        <v>123</v>
      </c>
      <c r="L18" s="22">
        <f t="shared" si="12"/>
        <v>0</v>
      </c>
      <c r="M18" s="22" t="str">
        <f t="shared" si="6"/>
        <v>کار معمولی</v>
      </c>
      <c r="N18" s="23">
        <f t="shared" si="7"/>
        <v>36855</v>
      </c>
      <c r="O18" s="24">
        <v>0</v>
      </c>
      <c r="P18" s="24">
        <f t="shared" si="8"/>
        <v>11340</v>
      </c>
      <c r="Q18" s="24">
        <f t="shared" si="13"/>
        <v>25515</v>
      </c>
      <c r="R18" s="30">
        <v>135</v>
      </c>
      <c r="S18" s="22">
        <f t="shared" si="9"/>
        <v>135</v>
      </c>
      <c r="T18" s="26">
        <f t="shared" si="3"/>
        <v>0</v>
      </c>
      <c r="U18" s="26">
        <f t="shared" si="10"/>
        <v>5150</v>
      </c>
      <c r="V18" s="25">
        <f t="shared" si="14"/>
        <v>25392</v>
      </c>
      <c r="W18" s="30">
        <v>13850</v>
      </c>
      <c r="X18" s="22">
        <v>10729</v>
      </c>
      <c r="Y18" s="22">
        <f t="shared" si="11"/>
        <v>2029</v>
      </c>
      <c r="Z18" s="23">
        <v>21</v>
      </c>
      <c r="AA18" s="17" t="s">
        <v>6</v>
      </c>
    </row>
    <row r="19" spans="2:27" ht="18.75" x14ac:dyDescent="0.45">
      <c r="B19" s="33" t="s">
        <v>27</v>
      </c>
      <c r="C19" s="35">
        <v>2300000</v>
      </c>
      <c r="E19" s="22">
        <f t="shared" si="0"/>
        <v>44624000</v>
      </c>
      <c r="F19" s="21">
        <f t="shared" si="15"/>
        <v>0</v>
      </c>
      <c r="G19" s="22">
        <f t="shared" si="16"/>
        <v>0</v>
      </c>
      <c r="H19" s="26">
        <f t="shared" si="1"/>
        <v>0</v>
      </c>
      <c r="I19" s="29">
        <f t="shared" si="4"/>
        <v>0</v>
      </c>
      <c r="J19" s="21">
        <f t="shared" si="2"/>
        <v>72253500</v>
      </c>
      <c r="K19" s="22">
        <f t="shared" si="5"/>
        <v>4983</v>
      </c>
      <c r="L19" s="22">
        <f t="shared" si="12"/>
        <v>0</v>
      </c>
      <c r="M19" s="22" t="str">
        <f t="shared" si="6"/>
        <v>کار معمولی</v>
      </c>
      <c r="N19" s="23">
        <f t="shared" si="7"/>
        <v>43875</v>
      </c>
      <c r="O19" s="24">
        <v>0</v>
      </c>
      <c r="P19" s="24">
        <f t="shared" si="8"/>
        <v>13500</v>
      </c>
      <c r="Q19" s="24">
        <f t="shared" si="13"/>
        <v>30375</v>
      </c>
      <c r="R19" s="30">
        <v>135</v>
      </c>
      <c r="S19" s="22">
        <f t="shared" si="9"/>
        <v>113</v>
      </c>
      <c r="T19" s="26">
        <f t="shared" si="3"/>
        <v>0</v>
      </c>
      <c r="U19" s="26">
        <f t="shared" si="10"/>
        <v>2789</v>
      </c>
      <c r="V19" s="25">
        <f t="shared" si="14"/>
        <v>25392</v>
      </c>
      <c r="W19" s="30">
        <v>13850</v>
      </c>
      <c r="X19" s="21">
        <v>16211</v>
      </c>
      <c r="Y19" s="26">
        <f t="shared" si="11"/>
        <v>5150</v>
      </c>
      <c r="Z19" s="23">
        <v>25</v>
      </c>
      <c r="AA19" s="18" t="s">
        <v>7</v>
      </c>
    </row>
    <row r="20" spans="2:27" ht="18.75" x14ac:dyDescent="0.45">
      <c r="B20" s="33" t="s">
        <v>29</v>
      </c>
      <c r="C20" s="35">
        <v>90</v>
      </c>
      <c r="E20" s="22">
        <f>MAX(T20*$C$14,U20*$C$13)</f>
        <v>36304000</v>
      </c>
      <c r="F20" s="21">
        <f t="shared" si="15"/>
        <v>0</v>
      </c>
      <c r="G20" s="22">
        <f t="shared" si="16"/>
        <v>0</v>
      </c>
      <c r="H20" s="22">
        <f t="shared" si="1"/>
        <v>0</v>
      </c>
      <c r="I20" s="29">
        <f t="shared" si="4"/>
        <v>2150</v>
      </c>
      <c r="J20" s="22">
        <f t="shared" si="2"/>
        <v>32712000</v>
      </c>
      <c r="K20" s="22">
        <f t="shared" si="5"/>
        <v>2256</v>
      </c>
      <c r="L20" s="22">
        <f t="shared" si="12"/>
        <v>0</v>
      </c>
      <c r="M20" s="22" t="str">
        <f t="shared" si="6"/>
        <v>کار معمولی</v>
      </c>
      <c r="N20" s="23">
        <f t="shared" si="7"/>
        <v>45630</v>
      </c>
      <c r="O20" s="24">
        <v>0</v>
      </c>
      <c r="P20" s="24">
        <f t="shared" si="8"/>
        <v>14040</v>
      </c>
      <c r="Q20" s="24">
        <f t="shared" si="13"/>
        <v>31590</v>
      </c>
      <c r="R20" s="30">
        <v>135</v>
      </c>
      <c r="S20" s="22">
        <f t="shared" si="9"/>
        <v>126</v>
      </c>
      <c r="T20" s="26">
        <f t="shared" si="3"/>
        <v>0</v>
      </c>
      <c r="U20" s="26">
        <f t="shared" si="10"/>
        <v>2269</v>
      </c>
      <c r="V20" s="25">
        <f t="shared" si="14"/>
        <v>29334</v>
      </c>
      <c r="W20" s="30">
        <v>16000</v>
      </c>
      <c r="X20" s="22">
        <v>16520</v>
      </c>
      <c r="Y20" s="22">
        <f t="shared" si="11"/>
        <v>2789</v>
      </c>
      <c r="Z20" s="23">
        <v>26</v>
      </c>
      <c r="AA20" s="17" t="s">
        <v>8</v>
      </c>
    </row>
    <row r="21" spans="2:27" ht="18.75" x14ac:dyDescent="0.45">
      <c r="B21" s="33" t="s">
        <v>36</v>
      </c>
      <c r="C21" s="35">
        <v>170</v>
      </c>
      <c r="E21" s="22">
        <f t="shared" si="0"/>
        <v>32672000</v>
      </c>
      <c r="F21" s="21">
        <f t="shared" si="15"/>
        <v>0</v>
      </c>
      <c r="G21" s="22">
        <f t="shared" si="16"/>
        <v>122550000</v>
      </c>
      <c r="H21" s="26">
        <f t="shared" si="1"/>
        <v>19</v>
      </c>
      <c r="I21" s="29">
        <f t="shared" si="4"/>
        <v>2900</v>
      </c>
      <c r="J21" s="21">
        <f t="shared" si="2"/>
        <v>0</v>
      </c>
      <c r="K21" s="22">
        <f t="shared" si="5"/>
        <v>0</v>
      </c>
      <c r="L21" s="22">
        <f t="shared" si="12"/>
        <v>0</v>
      </c>
      <c r="M21" s="22" t="str">
        <f t="shared" si="6"/>
        <v>کار معمولی + اضافه کاری</v>
      </c>
      <c r="N21" s="23">
        <f t="shared" si="7"/>
        <v>50050</v>
      </c>
      <c r="O21" s="24">
        <v>0</v>
      </c>
      <c r="P21" s="24">
        <f t="shared" si="8"/>
        <v>15400</v>
      </c>
      <c r="Q21" s="24">
        <f>Z21*$C$22*R21</f>
        <v>34650</v>
      </c>
      <c r="R21" s="30">
        <v>154</v>
      </c>
      <c r="S21" s="22">
        <f t="shared" si="9"/>
        <v>154</v>
      </c>
      <c r="T21" s="26">
        <f t="shared" si="3"/>
        <v>0</v>
      </c>
      <c r="U21" s="26">
        <f t="shared" si="10"/>
        <v>2042</v>
      </c>
      <c r="V21" s="25">
        <f>_xlfn.CEILING.MATH(W21*($C$27/60))</f>
        <v>34650</v>
      </c>
      <c r="W21" s="30">
        <v>18900</v>
      </c>
      <c r="X21" s="21">
        <v>19127</v>
      </c>
      <c r="Y21" s="26">
        <f t="shared" si="11"/>
        <v>2269</v>
      </c>
      <c r="Z21" s="23">
        <v>25</v>
      </c>
      <c r="AA21" s="18" t="s">
        <v>9</v>
      </c>
    </row>
    <row r="22" spans="2:27" ht="18.75" x14ac:dyDescent="0.45">
      <c r="B22" s="33" t="s">
        <v>28</v>
      </c>
      <c r="C22" s="35">
        <v>9</v>
      </c>
      <c r="E22" s="22">
        <f t="shared" si="0"/>
        <v>49888000</v>
      </c>
      <c r="F22" s="21">
        <f t="shared" si="15"/>
        <v>0</v>
      </c>
      <c r="G22" s="22">
        <f t="shared" si="16"/>
        <v>0</v>
      </c>
      <c r="H22" s="22">
        <f t="shared" si="1"/>
        <v>0</v>
      </c>
      <c r="I22" s="29">
        <f t="shared" si="4"/>
        <v>-3000</v>
      </c>
      <c r="J22" s="22">
        <f t="shared" si="2"/>
        <v>39556000</v>
      </c>
      <c r="K22" s="22">
        <f t="shared" si="5"/>
        <v>2728</v>
      </c>
      <c r="L22" s="22">
        <f t="shared" si="12"/>
        <v>0</v>
      </c>
      <c r="M22" s="22" t="str">
        <f t="shared" si="6"/>
        <v>کار معمولی</v>
      </c>
      <c r="N22" s="23">
        <f t="shared" si="7"/>
        <v>46046</v>
      </c>
      <c r="O22" s="24">
        <v>0</v>
      </c>
      <c r="P22" s="24">
        <f t="shared" si="8"/>
        <v>14168</v>
      </c>
      <c r="Q22" s="24">
        <f t="shared" si="13"/>
        <v>31878</v>
      </c>
      <c r="R22" s="30">
        <v>154</v>
      </c>
      <c r="S22" s="22">
        <f t="shared" si="9"/>
        <v>141</v>
      </c>
      <c r="T22" s="26">
        <f t="shared" si="3"/>
        <v>0</v>
      </c>
      <c r="U22" s="26">
        <f t="shared" si="10"/>
        <v>3118</v>
      </c>
      <c r="V22" s="25">
        <f t="shared" si="14"/>
        <v>29150</v>
      </c>
      <c r="W22" s="30">
        <v>15900</v>
      </c>
      <c r="X22" s="22">
        <v>14824</v>
      </c>
      <c r="Y22" s="22">
        <f t="shared" si="11"/>
        <v>2042</v>
      </c>
      <c r="Z22" s="23">
        <v>23</v>
      </c>
      <c r="AA22" s="17" t="s">
        <v>10</v>
      </c>
    </row>
    <row r="23" spans="2:27" ht="18.75" x14ac:dyDescent="0.45">
      <c r="B23" s="33" t="s">
        <v>30</v>
      </c>
      <c r="C23" s="35">
        <v>4</v>
      </c>
      <c r="E23" s="22">
        <f t="shared" si="0"/>
        <v>38400000</v>
      </c>
      <c r="F23" s="21">
        <f t="shared" si="15"/>
        <v>7767272.7272727266</v>
      </c>
      <c r="G23" s="22">
        <f t="shared" si="16"/>
        <v>103200000</v>
      </c>
      <c r="H23" s="26">
        <f t="shared" si="1"/>
        <v>16</v>
      </c>
      <c r="I23" s="29">
        <f t="shared" si="4"/>
        <v>4226</v>
      </c>
      <c r="J23" s="21">
        <f t="shared" si="2"/>
        <v>0</v>
      </c>
      <c r="K23" s="22">
        <f t="shared" si="5"/>
        <v>0</v>
      </c>
      <c r="L23" s="22">
        <f t="shared" si="12"/>
        <v>178</v>
      </c>
      <c r="M23" s="22" t="str">
        <f t="shared" si="6"/>
        <v>کار معمولی + اضافه کاری</v>
      </c>
      <c r="N23" s="23">
        <f t="shared" si="7"/>
        <v>53040</v>
      </c>
      <c r="O23" s="24">
        <v>0</v>
      </c>
      <c r="P23" s="24">
        <f t="shared" si="8"/>
        <v>16320</v>
      </c>
      <c r="Q23" s="24">
        <f t="shared" si="13"/>
        <v>36720</v>
      </c>
      <c r="R23" s="30">
        <v>170</v>
      </c>
      <c r="S23" s="22">
        <f t="shared" si="9"/>
        <v>170</v>
      </c>
      <c r="T23" s="26">
        <f>MAX(0,X23-W23-Y23+T22)</f>
        <v>0</v>
      </c>
      <c r="U23" s="26">
        <f>Y12</f>
        <v>2400</v>
      </c>
      <c r="V23" s="25">
        <f>_xlfn.CEILING.MATH(W23*($C$27/60))</f>
        <v>36898</v>
      </c>
      <c r="W23" s="30">
        <v>20126</v>
      </c>
      <c r="X23" s="21">
        <v>20844</v>
      </c>
      <c r="Y23" s="26">
        <f t="shared" si="11"/>
        <v>3118</v>
      </c>
      <c r="Z23" s="23">
        <v>24</v>
      </c>
      <c r="AA23" s="18" t="s">
        <v>11</v>
      </c>
    </row>
    <row r="24" spans="2:27" x14ac:dyDescent="0.45">
      <c r="B24" s="36" t="s">
        <v>31</v>
      </c>
      <c r="C24" s="35">
        <v>1000</v>
      </c>
      <c r="E24" s="27">
        <f>SUM(E12:E23)</f>
        <v>530016000</v>
      </c>
      <c r="F24" s="27">
        <f t="shared" ref="F24:G24" si="17">SUM(F12:F23)</f>
        <v>263301818.18181816</v>
      </c>
      <c r="G24" s="27">
        <f t="shared" si="17"/>
        <v>282400000</v>
      </c>
      <c r="H24" s="27"/>
      <c r="I24" s="27"/>
      <c r="J24" s="27">
        <f>SUM(J12:J23)</f>
        <v>495885500</v>
      </c>
      <c r="K24" s="27">
        <f>SUM(J12:J23)</f>
        <v>495885500</v>
      </c>
      <c r="L24" s="27">
        <f>SUM(K12:K23)</f>
        <v>34199</v>
      </c>
      <c r="M24" s="27">
        <f>SUM(L12:L23)</f>
        <v>6034</v>
      </c>
      <c r="N24" s="22"/>
      <c r="O24" s="28"/>
      <c r="P24" s="28"/>
      <c r="Q24" s="28"/>
      <c r="R24" s="28"/>
      <c r="S24" s="27"/>
      <c r="T24" s="27"/>
      <c r="U24" s="27"/>
      <c r="V24" s="27"/>
      <c r="W24" s="27">
        <f>SUM(W12:W23)</f>
        <v>185652</v>
      </c>
      <c r="X24" s="27">
        <f>SUM(X12:X23)</f>
        <v>185652</v>
      </c>
      <c r="Y24" s="27"/>
      <c r="Z24" s="27">
        <f>SUM(Z12:Z23)</f>
        <v>288</v>
      </c>
      <c r="AA24" s="27" t="s">
        <v>47</v>
      </c>
    </row>
    <row r="25" spans="2:27" x14ac:dyDescent="0.45">
      <c r="B25" s="36" t="s">
        <v>68</v>
      </c>
      <c r="C25" s="35">
        <v>500</v>
      </c>
      <c r="E25" s="61">
        <f>E24+F24+G24+J24</f>
        <v>1571603318.181818</v>
      </c>
      <c r="F25" s="61"/>
      <c r="G25" s="61"/>
      <c r="H25" s="61"/>
      <c r="I25" s="61"/>
      <c r="J25" s="63" t="s">
        <v>76</v>
      </c>
      <c r="K25" s="63"/>
      <c r="L25" s="15"/>
      <c r="Y25" s="14">
        <v>15471</v>
      </c>
      <c r="AA25" s="15"/>
    </row>
    <row r="26" spans="2:27" ht="18.75" thickBot="1" x14ac:dyDescent="0.5">
      <c r="B26" s="33" t="s">
        <v>38</v>
      </c>
      <c r="C26" s="35">
        <v>0</v>
      </c>
      <c r="E26" s="62"/>
      <c r="F26" s="62"/>
      <c r="G26" s="62"/>
      <c r="H26" s="62"/>
      <c r="I26" s="62"/>
      <c r="J26" s="64"/>
      <c r="K26" s="64"/>
      <c r="L26" s="15"/>
      <c r="AA26" s="15"/>
    </row>
    <row r="27" spans="2:27" ht="32.25" thickBot="1" x14ac:dyDescent="0.8">
      <c r="B27" s="33" t="s">
        <v>34</v>
      </c>
      <c r="C27" s="35">
        <v>110</v>
      </c>
      <c r="E27" s="41">
        <f>E24/$E$25</f>
        <v>0.33724540656555341</v>
      </c>
      <c r="F27" s="42">
        <f t="shared" ref="F27:G27" si="18">F24/$E$25</f>
        <v>0.16753707194155779</v>
      </c>
      <c r="G27" s="42">
        <f t="shared" si="18"/>
        <v>0.1796891090346561</v>
      </c>
      <c r="H27" s="39"/>
      <c r="I27" s="39"/>
      <c r="J27" s="40">
        <f t="shared" ref="J27" si="19">J24/$E$25</f>
        <v>0.31552841245823282</v>
      </c>
    </row>
    <row r="28" spans="2:27" x14ac:dyDescent="0.45">
      <c r="B28" s="33" t="s">
        <v>35</v>
      </c>
      <c r="C28" s="35">
        <v>133</v>
      </c>
      <c r="E28" s="61">
        <f>W24*C11</f>
        <v>161517240000</v>
      </c>
      <c r="F28" s="61"/>
      <c r="G28" s="61"/>
      <c r="H28" s="61"/>
      <c r="I28" s="61"/>
      <c r="J28" s="63" t="s">
        <v>75</v>
      </c>
      <c r="K28" s="63"/>
    </row>
    <row r="29" spans="2:27" ht="18.75" thickBot="1" x14ac:dyDescent="0.5">
      <c r="B29" s="37" t="s">
        <v>58</v>
      </c>
      <c r="C29" s="38">
        <v>2400</v>
      </c>
      <c r="E29" s="62"/>
      <c r="F29" s="62"/>
      <c r="G29" s="62"/>
      <c r="H29" s="62"/>
      <c r="I29" s="62"/>
      <c r="J29" s="64"/>
      <c r="K29" s="64"/>
    </row>
    <row r="30" spans="2:27" x14ac:dyDescent="0.45">
      <c r="E30" s="61">
        <f>E28+E25</f>
        <v>163088843318.18182</v>
      </c>
      <c r="F30" s="61"/>
      <c r="G30" s="61"/>
      <c r="H30" s="61"/>
      <c r="I30" s="61"/>
      <c r="J30" s="63" t="s">
        <v>47</v>
      </c>
      <c r="K30" s="63"/>
    </row>
    <row r="31" spans="2:27" x14ac:dyDescent="0.45">
      <c r="E31" s="62"/>
      <c r="F31" s="62"/>
      <c r="G31" s="62"/>
      <c r="H31" s="62"/>
      <c r="I31" s="62"/>
      <c r="J31" s="64"/>
      <c r="K31" s="64"/>
    </row>
  </sheetData>
  <sheetProtection algorithmName="SHA-512" hashValue="sq7+mqdqHhBaoVF7SY6CrSlF6GlA7lAxZYfhrakLqE92NBS3tJlUlGmaWFF2DZoNg0xVUgi1ljGpSImBIII8Yg==" saltValue="zbPLtLa538a48eKu0BnHVQ==" spinCount="100000" sheet="1" objects="1" scenarios="1"/>
  <mergeCells count="27">
    <mergeCell ref="Y8:Y10"/>
    <mergeCell ref="Z8:Z10"/>
    <mergeCell ref="E25:I26"/>
    <mergeCell ref="J25:K26"/>
    <mergeCell ref="M5:R6"/>
    <mergeCell ref="P8:P10"/>
    <mergeCell ref="Q8:Q10"/>
    <mergeCell ref="R8:R10"/>
    <mergeCell ref="S8:S10"/>
    <mergeCell ref="T8:T10"/>
    <mergeCell ref="V8:V10"/>
    <mergeCell ref="J8:J10"/>
    <mergeCell ref="K8:K10"/>
    <mergeCell ref="L8:L10"/>
    <mergeCell ref="M8:M10"/>
    <mergeCell ref="N8:N10"/>
    <mergeCell ref="G7:H7"/>
    <mergeCell ref="E8:E10"/>
    <mergeCell ref="F8:F10"/>
    <mergeCell ref="G8:G10"/>
    <mergeCell ref="H8:H10"/>
    <mergeCell ref="E28:I29"/>
    <mergeCell ref="J28:K29"/>
    <mergeCell ref="E30:I31"/>
    <mergeCell ref="J30:K31"/>
    <mergeCell ref="O8:O10"/>
    <mergeCell ref="I8:I10"/>
  </mergeCells>
  <conditionalFormatting sqref="Q12:Q23">
    <cfRule type="expression" dxfId="37" priority="18">
      <formula>IF(Q12&lt;V12,1,0)</formula>
    </cfRule>
  </conditionalFormatting>
  <conditionalFormatting sqref="N12:N23">
    <cfRule type="expression" dxfId="36" priority="17">
      <formula>IF(N12&gt;V12,1,0)</formula>
    </cfRule>
  </conditionalFormatting>
  <conditionalFormatting sqref="H12:H23">
    <cfRule type="cellIs" dxfId="35" priority="14" operator="lessThan">
      <formula>0</formula>
    </cfRule>
    <cfRule type="cellIs" dxfId="34" priority="16" operator="greaterThan">
      <formula>0</formula>
    </cfRule>
  </conditionalFormatting>
  <conditionalFormatting sqref="G12:G23">
    <cfRule type="expression" dxfId="33" priority="15">
      <formula>IF(H12&lt;0,1,0)</formula>
    </cfRule>
  </conditionalFormatting>
  <conditionalFormatting sqref="H24 G12:G23">
    <cfRule type="expression" dxfId="32" priority="13">
      <formula>IF(H12&gt;0,1,0)</formula>
    </cfRule>
  </conditionalFormatting>
  <conditionalFormatting sqref="H12:H23">
    <cfRule type="expression" dxfId="31" priority="19">
      <formula>IF(J12&lt;0,1,0)</formula>
    </cfRule>
  </conditionalFormatting>
  <conditionalFormatting sqref="I12:I23">
    <cfRule type="cellIs" dxfId="30" priority="1" operator="equal">
      <formula>0</formula>
    </cfRule>
    <cfRule type="cellIs" dxfId="29" priority="12" operator="between">
      <formula>$C$25-1</formula>
      <formula>-$C$25+1</formula>
    </cfRule>
  </conditionalFormatting>
  <conditionalFormatting sqref="T12:T23">
    <cfRule type="cellIs" dxfId="28" priority="11" operator="greaterThan">
      <formula>$C$15</formula>
    </cfRule>
  </conditionalFormatting>
  <conditionalFormatting sqref="U11:U23">
    <cfRule type="cellIs" dxfId="27" priority="10" operator="greaterThan">
      <formula>$C$16</formula>
    </cfRule>
  </conditionalFormatting>
  <conditionalFormatting sqref="Y12:Y23">
    <cfRule type="cellIs" dxfId="26" priority="9" operator="lessThan">
      <formula>$C$26</formula>
    </cfRule>
  </conditionalFormatting>
  <conditionalFormatting sqref="Z12:Z23">
    <cfRule type="cellIs" dxfId="25" priority="8" operator="between">
      <formula>15</formula>
      <formula>28</formula>
    </cfRule>
  </conditionalFormatting>
  <conditionalFormatting sqref="W24:X24">
    <cfRule type="cellIs" dxfId="24" priority="7" operator="notEqual">
      <formula>$X$24</formula>
    </cfRule>
  </conditionalFormatting>
  <conditionalFormatting sqref="V12:V23">
    <cfRule type="expression" dxfId="23" priority="6">
      <formula>IF(N12&lt;V12,1,0)</formula>
    </cfRule>
  </conditionalFormatting>
  <conditionalFormatting sqref="E12:E23">
    <cfRule type="expression" dxfId="22" priority="4">
      <formula>IF(U12&gt;0,1,0)</formula>
    </cfRule>
    <cfRule type="expression" dxfId="21" priority="5">
      <formula>IF(T12&gt;0,1,0)</formula>
    </cfRule>
  </conditionalFormatting>
  <conditionalFormatting sqref="F12:F23">
    <cfRule type="cellIs" dxfId="20" priority="3" operator="greaterThan">
      <formula>0</formula>
    </cfRule>
  </conditionalFormatting>
  <conditionalFormatting sqref="J12:J23">
    <cfRule type="cellIs" dxfId="19" priority="2" operator="greaterThan">
      <formula>0</formula>
    </cfRule>
  </conditionalFormatting>
  <dataValidations count="1">
    <dataValidation type="whole" allowBlank="1" showInputMessage="1" showErrorMessage="1" sqref="R12:R23" xr:uid="{00000000-0002-0000-0600-000000000000}">
      <formula1>$C$20</formula1>
      <formula2>$C$21</formula2>
    </dataValidation>
  </dataValidation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44D64-32E6-46D3-91E4-3D1BE1584160}">
  <sheetPr>
    <tabColor rgb="FF0070C0"/>
  </sheetPr>
  <dimension ref="A1:AE31"/>
  <sheetViews>
    <sheetView showGridLines="0" topLeftCell="G1" zoomScale="70" zoomScaleNormal="70" workbookViewId="0">
      <selection activeCell="E15" sqref="E15"/>
    </sheetView>
  </sheetViews>
  <sheetFormatPr defaultColWidth="9" defaultRowHeight="18" x14ac:dyDescent="0.45"/>
  <cols>
    <col min="1" max="1" width="9" style="14" customWidth="1"/>
    <col min="2" max="2" width="25.5" style="14" bestFit="1" customWidth="1"/>
    <col min="3" max="3" width="16.125" style="14" bestFit="1" customWidth="1"/>
    <col min="4" max="4" width="9" style="14" customWidth="1"/>
    <col min="5" max="7" width="14.875" style="14" bestFit="1" customWidth="1"/>
    <col min="8" max="8" width="11.375" style="14" bestFit="1" customWidth="1"/>
    <col min="9" max="9" width="8" style="14" bestFit="1" customWidth="1"/>
    <col min="10" max="10" width="14.875" style="14" bestFit="1" customWidth="1"/>
    <col min="11" max="11" width="17.625" style="14" bestFit="1" customWidth="1"/>
    <col min="12" max="12" width="14.875" style="14" bestFit="1" customWidth="1"/>
    <col min="13" max="13" width="20.125" style="14" bestFit="1" customWidth="1"/>
    <col min="14" max="14" width="16.375" style="14" bestFit="1" customWidth="1"/>
    <col min="15" max="15" width="21.125" style="14" bestFit="1" customWidth="1"/>
    <col min="16" max="16" width="22" style="14" bestFit="1" customWidth="1"/>
    <col min="17" max="17" width="23.875" style="14" bestFit="1" customWidth="1"/>
    <col min="18" max="18" width="14.25" style="14" bestFit="1" customWidth="1"/>
    <col min="19" max="19" width="11.75" style="14" bestFit="1" customWidth="1"/>
    <col min="20" max="20" width="6.125" style="14" bestFit="1" customWidth="1"/>
    <col min="21" max="21" width="9.5" style="14" bestFit="1" customWidth="1"/>
    <col min="22" max="22" width="12.625" style="14" bestFit="1" customWidth="1"/>
    <col min="23" max="24" width="10.5" style="14" bestFit="1" customWidth="1"/>
    <col min="25" max="25" width="9.5" style="14" bestFit="1" customWidth="1"/>
    <col min="26" max="26" width="10.5" style="14" bestFit="1" customWidth="1"/>
    <col min="27" max="27" width="12" style="14" bestFit="1" customWidth="1"/>
    <col min="28" max="16384" width="9" style="14"/>
  </cols>
  <sheetData>
    <row r="1" spans="1:31" customFormat="1" ht="39.75" customHeight="1" x14ac:dyDescent="0.2">
      <c r="A1" s="51" t="str">
        <f>"                     ‌Production Planning  (Saya Oven Toaster (پارس خزر))       -     "</f>
        <v xml:space="preserve">                     ‌Production Planning  (Saya Oven Toaster (پارس خزر))       -     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5" spans="1:31" x14ac:dyDescent="0.45">
      <c r="M5" s="73" t="s">
        <v>74</v>
      </c>
      <c r="N5" s="73"/>
      <c r="O5" s="73"/>
      <c r="P5" s="73"/>
      <c r="Q5" s="73"/>
      <c r="R5" s="73"/>
    </row>
    <row r="6" spans="1:31" x14ac:dyDescent="0.45">
      <c r="M6" s="73"/>
      <c r="N6" s="73"/>
      <c r="O6" s="73"/>
      <c r="P6" s="73"/>
      <c r="Q6" s="73"/>
      <c r="R6" s="73"/>
    </row>
    <row r="7" spans="1:31" x14ac:dyDescent="0.45">
      <c r="G7" s="70" t="s">
        <v>66</v>
      </c>
      <c r="H7" s="70"/>
    </row>
    <row r="8" spans="1:31" ht="36.75" thickBot="1" x14ac:dyDescent="0.5">
      <c r="E8" s="65" t="s">
        <v>71</v>
      </c>
      <c r="F8" s="65" t="s">
        <v>72</v>
      </c>
      <c r="G8" s="65" t="s">
        <v>67</v>
      </c>
      <c r="H8" s="65" t="s">
        <v>16</v>
      </c>
      <c r="I8" s="65" t="s">
        <v>69</v>
      </c>
      <c r="J8" s="65" t="s">
        <v>45</v>
      </c>
      <c r="K8" s="65" t="s">
        <v>44</v>
      </c>
      <c r="L8" s="65" t="s">
        <v>42</v>
      </c>
      <c r="M8" s="65" t="s">
        <v>65</v>
      </c>
      <c r="N8" s="69" t="s">
        <v>64</v>
      </c>
      <c r="O8" s="69" t="s">
        <v>63</v>
      </c>
      <c r="P8" s="69" t="s">
        <v>62</v>
      </c>
      <c r="Q8" s="69" t="s">
        <v>61</v>
      </c>
      <c r="R8" s="68" t="s">
        <v>54</v>
      </c>
      <c r="S8" s="65" t="s">
        <v>15</v>
      </c>
      <c r="T8" s="65" t="s">
        <v>41</v>
      </c>
      <c r="U8" s="44" t="s">
        <v>14</v>
      </c>
      <c r="V8" s="65" t="s">
        <v>60</v>
      </c>
      <c r="W8" s="44" t="s">
        <v>13</v>
      </c>
      <c r="X8" s="44" t="s">
        <v>40</v>
      </c>
      <c r="Y8" s="65" t="s">
        <v>12</v>
      </c>
      <c r="Z8" s="65" t="s">
        <v>39</v>
      </c>
      <c r="AA8" s="44" t="s">
        <v>48</v>
      </c>
    </row>
    <row r="9" spans="1:31" x14ac:dyDescent="0.45">
      <c r="B9" s="31" t="s">
        <v>57</v>
      </c>
      <c r="C9" s="32" t="s">
        <v>37</v>
      </c>
      <c r="E9" s="66"/>
      <c r="F9" s="66"/>
      <c r="G9" s="66"/>
      <c r="H9" s="66"/>
      <c r="I9" s="66"/>
      <c r="J9" s="66"/>
      <c r="K9" s="66"/>
      <c r="L9" s="66"/>
      <c r="M9" s="66"/>
      <c r="N9" s="69"/>
      <c r="O9" s="69"/>
      <c r="P9" s="69"/>
      <c r="Q9" s="69"/>
      <c r="R9" s="68"/>
      <c r="S9" s="66"/>
      <c r="T9" s="66"/>
      <c r="U9" s="45"/>
      <c r="V9" s="66"/>
      <c r="W9" s="45"/>
      <c r="X9" s="45"/>
      <c r="Y9" s="66"/>
      <c r="Z9" s="66"/>
      <c r="AA9" s="45"/>
    </row>
    <row r="10" spans="1:31" x14ac:dyDescent="0.45">
      <c r="B10" s="33" t="s">
        <v>56</v>
      </c>
      <c r="C10" s="34">
        <f>C12-C11</f>
        <v>80000</v>
      </c>
      <c r="E10" s="67"/>
      <c r="F10" s="67"/>
      <c r="G10" s="67"/>
      <c r="H10" s="67"/>
      <c r="I10" s="67"/>
      <c r="J10" s="67"/>
      <c r="K10" s="67"/>
      <c r="L10" s="67"/>
      <c r="M10" s="67"/>
      <c r="N10" s="69"/>
      <c r="O10" s="69"/>
      <c r="P10" s="69"/>
      <c r="Q10" s="69"/>
      <c r="R10" s="68"/>
      <c r="S10" s="67"/>
      <c r="T10" s="67"/>
      <c r="U10" s="46"/>
      <c r="V10" s="67"/>
      <c r="W10" s="46"/>
      <c r="X10" s="46"/>
      <c r="Y10" s="67"/>
      <c r="Z10" s="67"/>
      <c r="AA10" s="46"/>
    </row>
    <row r="11" spans="1:31" x14ac:dyDescent="0.45">
      <c r="B11" s="33" t="s">
        <v>22</v>
      </c>
      <c r="C11" s="35">
        <v>870000</v>
      </c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1"/>
      <c r="P11" s="21"/>
      <c r="Q11" s="21"/>
      <c r="R11" s="21">
        <v>133</v>
      </c>
      <c r="S11" s="21"/>
      <c r="T11" s="20"/>
      <c r="U11" s="20"/>
      <c r="V11" s="20"/>
      <c r="W11" s="20">
        <f>X24/12</f>
        <v>15471</v>
      </c>
      <c r="X11" s="20"/>
      <c r="Y11" s="20"/>
      <c r="Z11" s="20"/>
      <c r="AA11" s="16"/>
    </row>
    <row r="12" spans="1:31" ht="18.75" x14ac:dyDescent="0.45">
      <c r="B12" s="33" t="s">
        <v>23</v>
      </c>
      <c r="C12" s="35">
        <v>950000</v>
      </c>
      <c r="E12" s="22">
        <f t="shared" ref="E12:E23" si="0">MAX(T12*$C$14,U12*$C$13)</f>
        <v>32112000</v>
      </c>
      <c r="F12" s="21">
        <f>L12*(60/$C$27)*$C$10</f>
        <v>8247272.7272727266</v>
      </c>
      <c r="G12" s="22">
        <f>IF(H12&gt;=0,H12*$C$18,ABS(H12*$C$19))</f>
        <v>64500000</v>
      </c>
      <c r="H12" s="22">
        <f t="shared" ref="H12:H23" si="1">R12-R11</f>
        <v>10</v>
      </c>
      <c r="I12" s="29">
        <f>W12-W11</f>
        <v>-626</v>
      </c>
      <c r="J12" s="22">
        <f t="shared" ref="J12:J23" si="2">K12*$C$17</f>
        <v>0</v>
      </c>
      <c r="K12" s="22">
        <f>MAX(0,Q12-V12)</f>
        <v>0</v>
      </c>
      <c r="L12" s="22">
        <f>MIN(MAX(0,V12-Q12),P12)</f>
        <v>189</v>
      </c>
      <c r="M12" s="22" t="str">
        <f>IF(V12&lt;Q12,"کار معمولی",IF(V12&lt;Q12+P12,"کار معمولی + اضافه کاری","کار معمولی، اضافه‌کاری و پیمانکاری"))</f>
        <v>کار معمولی + اضافه کاری</v>
      </c>
      <c r="N12" s="23">
        <f>O12+P12+Q12</f>
        <v>39039</v>
      </c>
      <c r="O12" s="24">
        <v>0</v>
      </c>
      <c r="P12" s="24">
        <f>Z12*$C$23*R12</f>
        <v>12012</v>
      </c>
      <c r="Q12" s="24">
        <f>Z12*$C$22*R12</f>
        <v>27027</v>
      </c>
      <c r="R12" s="30">
        <v>143</v>
      </c>
      <c r="S12" s="22">
        <f>MIN(_xlfn.CEILING.MATH(V12/(Z12*$C$22)),$C$21)</f>
        <v>144</v>
      </c>
      <c r="T12" s="26">
        <f t="shared" ref="T12:T22" si="3">MAX(0,X12-W12-Y12+T11)</f>
        <v>0</v>
      </c>
      <c r="U12" s="26">
        <f>MAX(0,W12-X12+Y12-T11)</f>
        <v>2007</v>
      </c>
      <c r="V12" s="25">
        <f>_xlfn.CEILING.MATH(W12*($C$27/60))</f>
        <v>27216</v>
      </c>
      <c r="W12" s="30">
        <v>14845</v>
      </c>
      <c r="X12" s="22">
        <v>15238</v>
      </c>
      <c r="Y12" s="22">
        <f>C29</f>
        <v>2400</v>
      </c>
      <c r="Z12" s="23">
        <v>21</v>
      </c>
      <c r="AA12" s="17" t="s">
        <v>0</v>
      </c>
    </row>
    <row r="13" spans="1:31" ht="18.75" x14ac:dyDescent="0.45">
      <c r="B13" s="33" t="s">
        <v>59</v>
      </c>
      <c r="C13" s="35">
        <v>16000</v>
      </c>
      <c r="E13" s="22">
        <f t="shared" si="0"/>
        <v>0</v>
      </c>
      <c r="F13" s="21">
        <f>L13*(60/$C$27)*$C$10</f>
        <v>174545.45454545453</v>
      </c>
      <c r="G13" s="22">
        <f>IF(H13&gt;=0,H13*$C$18,ABS(H13*$C$19))</f>
        <v>0</v>
      </c>
      <c r="H13" s="26">
        <f t="shared" si="1"/>
        <v>0</v>
      </c>
      <c r="I13" s="29">
        <f t="shared" ref="I13:I23" si="4">W13-W12</f>
        <v>1303</v>
      </c>
      <c r="J13" s="21">
        <f t="shared" si="2"/>
        <v>0</v>
      </c>
      <c r="K13" s="22">
        <f t="shared" ref="K13:K23" si="5">MAX(0,Q13-V13)</f>
        <v>0</v>
      </c>
      <c r="L13" s="22">
        <f>MIN(MAX(0,V13-Q13),P13)</f>
        <v>4</v>
      </c>
      <c r="M13" s="22" t="str">
        <f t="shared" ref="M13:M23" si="6">IF(V13&lt;Q13,"کار معمولی",IF(V13&lt;Q13+P13,"کار معمولی + اضافه کاری","کار معمولی، اضافه‌کاری و پیمانکاری"))</f>
        <v>کار معمولی + اضافه کاری</v>
      </c>
      <c r="N13" s="23">
        <f t="shared" ref="N13:N23" si="7">O13+P13+Q13</f>
        <v>42757</v>
      </c>
      <c r="O13" s="24">
        <v>0</v>
      </c>
      <c r="P13" s="24">
        <f t="shared" ref="P13:P23" si="8">Z13*$C$23*R13</f>
        <v>13156</v>
      </c>
      <c r="Q13" s="24">
        <f>Z13*$C$22*R13</f>
        <v>29601</v>
      </c>
      <c r="R13" s="30">
        <v>143</v>
      </c>
      <c r="S13" s="22">
        <f t="shared" ref="S13:S23" si="9">MIN(_xlfn.CEILING.MATH(V13/(Z13*$C$22)),$C$21)</f>
        <v>144</v>
      </c>
      <c r="T13" s="26">
        <f t="shared" si="3"/>
        <v>0</v>
      </c>
      <c r="U13" s="26">
        <f t="shared" ref="U13:U22" si="10">MAX(0,W13-X13+Y13-T12)</f>
        <v>0</v>
      </c>
      <c r="V13" s="25">
        <f>_xlfn.CEILING.MATH(W13*($C$27/60))</f>
        <v>29605</v>
      </c>
      <c r="W13" s="30">
        <v>16148</v>
      </c>
      <c r="X13" s="21">
        <v>18155</v>
      </c>
      <c r="Y13" s="26">
        <f t="shared" ref="Y13:Y23" si="11">U12</f>
        <v>2007</v>
      </c>
      <c r="Z13" s="23">
        <v>23</v>
      </c>
      <c r="AA13" s="18" t="s">
        <v>1</v>
      </c>
    </row>
    <row r="14" spans="1:31" ht="18.75" x14ac:dyDescent="0.45">
      <c r="B14" s="33" t="s">
        <v>25</v>
      </c>
      <c r="C14" s="35">
        <v>255000</v>
      </c>
      <c r="E14" s="22">
        <f t="shared" si="0"/>
        <v>32224000</v>
      </c>
      <c r="F14" s="21">
        <f>L14*(60/$C$27)*$C$10</f>
        <v>130909.0909090909</v>
      </c>
      <c r="G14" s="22">
        <f>IF(H14&gt;=0,H14*$C$18,ABS(H14*$C$19))</f>
        <v>71300000</v>
      </c>
      <c r="H14" s="22">
        <f t="shared" si="1"/>
        <v>-31</v>
      </c>
      <c r="I14" s="29">
        <f>W14-W13</f>
        <v>-2951</v>
      </c>
      <c r="J14" s="22">
        <f>K14*$C$17</f>
        <v>0</v>
      </c>
      <c r="K14" s="22">
        <f t="shared" si="5"/>
        <v>0</v>
      </c>
      <c r="L14" s="22">
        <f t="shared" ref="L14:L23" si="12">MIN(MAX(0,V14-Q14),P14)</f>
        <v>3</v>
      </c>
      <c r="M14" s="22" t="str">
        <f t="shared" si="6"/>
        <v>کار معمولی + اضافه کاری</v>
      </c>
      <c r="N14" s="23">
        <f t="shared" si="7"/>
        <v>34944</v>
      </c>
      <c r="O14" s="24">
        <v>0</v>
      </c>
      <c r="P14" s="24">
        <f t="shared" si="8"/>
        <v>10752</v>
      </c>
      <c r="Q14" s="24">
        <f t="shared" ref="Q14:Q23" si="13">Z14*$C$22*R14</f>
        <v>24192</v>
      </c>
      <c r="R14" s="30">
        <v>112</v>
      </c>
      <c r="S14" s="22">
        <f t="shared" si="9"/>
        <v>113</v>
      </c>
      <c r="T14" s="26">
        <f t="shared" si="3"/>
        <v>0</v>
      </c>
      <c r="U14" s="26">
        <f t="shared" si="10"/>
        <v>2014</v>
      </c>
      <c r="V14" s="25">
        <f t="shared" ref="V14:V22" si="14">_xlfn.CEILING.MATH(W14*($C$27/60))</f>
        <v>24195</v>
      </c>
      <c r="W14" s="30">
        <v>13197</v>
      </c>
      <c r="X14" s="22">
        <v>11183</v>
      </c>
      <c r="Y14" s="22">
        <f t="shared" si="11"/>
        <v>0</v>
      </c>
      <c r="Z14" s="23">
        <v>24</v>
      </c>
      <c r="AA14" s="17" t="s">
        <v>2</v>
      </c>
    </row>
    <row r="15" spans="1:31" ht="18.75" x14ac:dyDescent="0.45">
      <c r="B15" s="36" t="s">
        <v>32</v>
      </c>
      <c r="C15" s="35">
        <v>1000</v>
      </c>
      <c r="E15" s="22">
        <f>MAX(T15*$C$14,U15*$C$13)</f>
        <v>55728000</v>
      </c>
      <c r="F15" s="21">
        <f t="shared" ref="F15:F23" si="15">L15*(60/$C$27)*$C$10</f>
        <v>174545.45454545453</v>
      </c>
      <c r="G15" s="22">
        <f t="shared" ref="G15:G23" si="16">IF(H15&gt;=0,H15*$C$18,ABS(H15*$C$19))</f>
        <v>0</v>
      </c>
      <c r="H15" s="26">
        <f t="shared" si="1"/>
        <v>0</v>
      </c>
      <c r="I15" s="29">
        <f>W15-W14</f>
        <v>1100</v>
      </c>
      <c r="J15" s="21">
        <f>K15*$C$17</f>
        <v>0</v>
      </c>
      <c r="K15" s="22">
        <f t="shared" si="5"/>
        <v>0</v>
      </c>
      <c r="L15" s="22">
        <f t="shared" si="12"/>
        <v>4</v>
      </c>
      <c r="M15" s="22" t="str">
        <f t="shared" si="6"/>
        <v>کار معمولی + اضافه کاری</v>
      </c>
      <c r="N15" s="23">
        <f t="shared" si="7"/>
        <v>37856</v>
      </c>
      <c r="O15" s="24">
        <v>0</v>
      </c>
      <c r="P15" s="24">
        <f t="shared" si="8"/>
        <v>11648</v>
      </c>
      <c r="Q15" s="24">
        <f t="shared" si="13"/>
        <v>26208</v>
      </c>
      <c r="R15" s="30">
        <v>112</v>
      </c>
      <c r="S15" s="22">
        <f t="shared" si="9"/>
        <v>113</v>
      </c>
      <c r="T15" s="26">
        <f t="shared" si="3"/>
        <v>0</v>
      </c>
      <c r="U15" s="26">
        <f t="shared" si="10"/>
        <v>3483</v>
      </c>
      <c r="V15" s="25">
        <f>_xlfn.CEILING.MATH(W15*($C$27/60))</f>
        <v>26212</v>
      </c>
      <c r="W15" s="30">
        <v>14297</v>
      </c>
      <c r="X15" s="21">
        <v>12828</v>
      </c>
      <c r="Y15" s="26">
        <f t="shared" si="11"/>
        <v>2014</v>
      </c>
      <c r="Z15" s="23">
        <v>26</v>
      </c>
      <c r="AA15" s="18" t="s">
        <v>3</v>
      </c>
    </row>
    <row r="16" spans="1:31" ht="18.75" x14ac:dyDescent="0.45">
      <c r="B16" s="33" t="s">
        <v>70</v>
      </c>
      <c r="C16" s="35">
        <v>10000</v>
      </c>
      <c r="E16" s="22">
        <f t="shared" si="0"/>
        <v>720000</v>
      </c>
      <c r="F16" s="21">
        <f>L16*(60/$C$27)*$C$10</f>
        <v>174545.45454545453</v>
      </c>
      <c r="G16" s="22">
        <f t="shared" si="16"/>
        <v>0</v>
      </c>
      <c r="H16" s="22">
        <f t="shared" si="1"/>
        <v>0</v>
      </c>
      <c r="I16" s="29">
        <f t="shared" si="4"/>
        <v>-1649</v>
      </c>
      <c r="J16" s="22">
        <f t="shared" si="2"/>
        <v>0</v>
      </c>
      <c r="K16" s="22">
        <f>MAX(0,Q16-V16)</f>
        <v>0</v>
      </c>
      <c r="L16" s="22">
        <f>MIN(MAX(0,V16-Q16),P16)</f>
        <v>4</v>
      </c>
      <c r="M16" s="22" t="str">
        <f>IF(V16&lt;Q16,"کار معمولی",IF(V16&lt;Q16+P16,"کار معمولی + اضافه کاری","کار معمولی، اضافه‌کاری و پیمانکاری"))</f>
        <v>کار معمولی + اضافه کاری</v>
      </c>
      <c r="N16" s="23">
        <f>O16+P16+Q16</f>
        <v>33488</v>
      </c>
      <c r="O16" s="24">
        <v>0</v>
      </c>
      <c r="P16" s="24">
        <f>Z16*$C$23*R16</f>
        <v>10304</v>
      </c>
      <c r="Q16" s="24">
        <f>Z16*$C$22*R16</f>
        <v>23184</v>
      </c>
      <c r="R16" s="30">
        <v>112</v>
      </c>
      <c r="S16" s="22">
        <f>MIN(_xlfn.CEILING.MATH(V16/(Z16*$C$22)),$C$21)</f>
        <v>113</v>
      </c>
      <c r="T16" s="26">
        <f>MAX(0,X16-W16-Y16+T15)</f>
        <v>0</v>
      </c>
      <c r="U16" s="26">
        <f t="shared" si="10"/>
        <v>45</v>
      </c>
      <c r="V16" s="25">
        <f>_xlfn.CEILING.MATH(W16*($C$27/60))</f>
        <v>23188</v>
      </c>
      <c r="W16" s="30">
        <v>12648</v>
      </c>
      <c r="X16" s="22">
        <v>16086</v>
      </c>
      <c r="Y16" s="22">
        <f t="shared" si="11"/>
        <v>3483</v>
      </c>
      <c r="Z16" s="23">
        <v>23</v>
      </c>
      <c r="AA16" s="17" t="s">
        <v>4</v>
      </c>
    </row>
    <row r="17" spans="2:27" ht="18.75" x14ac:dyDescent="0.45">
      <c r="B17" s="33" t="s">
        <v>46</v>
      </c>
      <c r="C17" s="35">
        <v>14500</v>
      </c>
      <c r="E17" s="22">
        <f t="shared" si="0"/>
        <v>15760000</v>
      </c>
      <c r="F17" s="21">
        <f t="shared" si="15"/>
        <v>174545.45454545453</v>
      </c>
      <c r="G17" s="22">
        <f t="shared" si="16"/>
        <v>0</v>
      </c>
      <c r="H17" s="26">
        <f t="shared" si="1"/>
        <v>0</v>
      </c>
      <c r="I17" s="29">
        <f t="shared" si="4"/>
        <v>2199</v>
      </c>
      <c r="J17" s="21">
        <f t="shared" si="2"/>
        <v>0</v>
      </c>
      <c r="K17" s="22">
        <f t="shared" si="5"/>
        <v>0</v>
      </c>
      <c r="L17" s="22">
        <f t="shared" si="12"/>
        <v>4</v>
      </c>
      <c r="M17" s="22" t="str">
        <f t="shared" si="6"/>
        <v>کار معمولی + اضافه کاری</v>
      </c>
      <c r="N17" s="23">
        <f t="shared" si="7"/>
        <v>39312</v>
      </c>
      <c r="O17" s="24">
        <v>0</v>
      </c>
      <c r="P17" s="24">
        <f t="shared" si="8"/>
        <v>12096</v>
      </c>
      <c r="Q17" s="24">
        <f t="shared" si="13"/>
        <v>27216</v>
      </c>
      <c r="R17" s="30">
        <v>112</v>
      </c>
      <c r="S17" s="22">
        <f t="shared" si="9"/>
        <v>113</v>
      </c>
      <c r="T17" s="26">
        <f t="shared" si="3"/>
        <v>0</v>
      </c>
      <c r="U17" s="26">
        <f t="shared" si="10"/>
        <v>985</v>
      </c>
      <c r="V17" s="25">
        <f t="shared" si="14"/>
        <v>27220</v>
      </c>
      <c r="W17" s="30">
        <v>14847</v>
      </c>
      <c r="X17" s="21">
        <v>13907</v>
      </c>
      <c r="Y17" s="26">
        <f t="shared" si="11"/>
        <v>45</v>
      </c>
      <c r="Z17" s="23">
        <v>27</v>
      </c>
      <c r="AA17" s="18" t="s">
        <v>5</v>
      </c>
    </row>
    <row r="18" spans="2:27" ht="18.75" x14ac:dyDescent="0.45">
      <c r="B18" s="33" t="s">
        <v>26</v>
      </c>
      <c r="C18" s="35">
        <v>6450000</v>
      </c>
      <c r="E18" s="22">
        <f t="shared" si="0"/>
        <v>28864000</v>
      </c>
      <c r="F18" s="21">
        <f t="shared" si="15"/>
        <v>174545.45454545453</v>
      </c>
      <c r="G18" s="22">
        <f t="shared" si="16"/>
        <v>0</v>
      </c>
      <c r="H18" s="22">
        <f t="shared" si="1"/>
        <v>0</v>
      </c>
      <c r="I18" s="29">
        <f t="shared" si="4"/>
        <v>-3299</v>
      </c>
      <c r="J18" s="22">
        <f t="shared" si="2"/>
        <v>0</v>
      </c>
      <c r="K18" s="22">
        <f t="shared" si="5"/>
        <v>0</v>
      </c>
      <c r="L18" s="22">
        <f t="shared" si="12"/>
        <v>4</v>
      </c>
      <c r="M18" s="22" t="str">
        <f t="shared" si="6"/>
        <v>کار معمولی + اضافه کاری</v>
      </c>
      <c r="N18" s="23">
        <f t="shared" si="7"/>
        <v>30576</v>
      </c>
      <c r="O18" s="24">
        <v>0</v>
      </c>
      <c r="P18" s="24">
        <f t="shared" si="8"/>
        <v>9408</v>
      </c>
      <c r="Q18" s="24">
        <f t="shared" si="13"/>
        <v>21168</v>
      </c>
      <c r="R18" s="30">
        <v>112</v>
      </c>
      <c r="S18" s="22">
        <f t="shared" si="9"/>
        <v>113</v>
      </c>
      <c r="T18" s="26">
        <f t="shared" si="3"/>
        <v>0</v>
      </c>
      <c r="U18" s="26">
        <f t="shared" si="10"/>
        <v>1804</v>
      </c>
      <c r="V18" s="25">
        <f t="shared" si="14"/>
        <v>21172</v>
      </c>
      <c r="W18" s="30">
        <v>11548</v>
      </c>
      <c r="X18" s="22">
        <v>10729</v>
      </c>
      <c r="Y18" s="22">
        <f t="shared" si="11"/>
        <v>985</v>
      </c>
      <c r="Z18" s="23">
        <v>21</v>
      </c>
      <c r="AA18" s="17" t="s">
        <v>6</v>
      </c>
    </row>
    <row r="19" spans="2:27" ht="18.75" x14ac:dyDescent="0.45">
      <c r="B19" s="33" t="s">
        <v>27</v>
      </c>
      <c r="C19" s="35">
        <v>2300000</v>
      </c>
      <c r="E19" s="22">
        <f t="shared" si="0"/>
        <v>1232000</v>
      </c>
      <c r="F19" s="21">
        <f t="shared" si="15"/>
        <v>174545.45454545453</v>
      </c>
      <c r="G19" s="22">
        <f t="shared" si="16"/>
        <v>38700000</v>
      </c>
      <c r="H19" s="26">
        <f t="shared" si="1"/>
        <v>6</v>
      </c>
      <c r="I19" s="29">
        <f t="shared" si="4"/>
        <v>2936</v>
      </c>
      <c r="J19" s="21">
        <f t="shared" si="2"/>
        <v>0</v>
      </c>
      <c r="K19" s="22">
        <f t="shared" si="5"/>
        <v>0</v>
      </c>
      <c r="L19" s="22">
        <f t="shared" si="12"/>
        <v>4</v>
      </c>
      <c r="M19" s="22" t="str">
        <f t="shared" si="6"/>
        <v>کار معمولی + اضافه کاری</v>
      </c>
      <c r="N19" s="23">
        <f t="shared" si="7"/>
        <v>38350</v>
      </c>
      <c r="O19" s="24">
        <v>0</v>
      </c>
      <c r="P19" s="24">
        <f t="shared" si="8"/>
        <v>11800</v>
      </c>
      <c r="Q19" s="24">
        <f t="shared" si="13"/>
        <v>26550</v>
      </c>
      <c r="R19" s="30">
        <v>118</v>
      </c>
      <c r="S19" s="22">
        <f t="shared" si="9"/>
        <v>119</v>
      </c>
      <c r="T19" s="26">
        <f t="shared" si="3"/>
        <v>0</v>
      </c>
      <c r="U19" s="26">
        <f t="shared" si="10"/>
        <v>77</v>
      </c>
      <c r="V19" s="25">
        <f t="shared" si="14"/>
        <v>26554</v>
      </c>
      <c r="W19" s="30">
        <v>14484</v>
      </c>
      <c r="X19" s="21">
        <v>16211</v>
      </c>
      <c r="Y19" s="26">
        <f t="shared" si="11"/>
        <v>1804</v>
      </c>
      <c r="Z19" s="23">
        <v>25</v>
      </c>
      <c r="AA19" s="18" t="s">
        <v>7</v>
      </c>
    </row>
    <row r="20" spans="2:27" ht="18.75" x14ac:dyDescent="0.45">
      <c r="B20" s="33" t="s">
        <v>29</v>
      </c>
      <c r="C20" s="35">
        <v>90</v>
      </c>
      <c r="E20" s="22">
        <f>MAX(T20*$C$14,U20*$C$13)</f>
        <v>4480000</v>
      </c>
      <c r="F20" s="21">
        <f t="shared" si="15"/>
        <v>20640000</v>
      </c>
      <c r="G20" s="22">
        <f t="shared" si="16"/>
        <v>70950000</v>
      </c>
      <c r="H20" s="22">
        <f t="shared" si="1"/>
        <v>11</v>
      </c>
      <c r="I20" s="29">
        <f t="shared" si="4"/>
        <v>2239</v>
      </c>
      <c r="J20" s="22">
        <f t="shared" si="2"/>
        <v>0</v>
      </c>
      <c r="K20" s="22">
        <f t="shared" si="5"/>
        <v>0</v>
      </c>
      <c r="L20" s="22">
        <f t="shared" si="12"/>
        <v>473</v>
      </c>
      <c r="M20" s="22" t="str">
        <f t="shared" si="6"/>
        <v>کار معمولی + اضافه کاری</v>
      </c>
      <c r="N20" s="23">
        <f t="shared" si="7"/>
        <v>43602</v>
      </c>
      <c r="O20" s="24">
        <v>0</v>
      </c>
      <c r="P20" s="24">
        <f t="shared" si="8"/>
        <v>13416</v>
      </c>
      <c r="Q20" s="24">
        <f t="shared" si="13"/>
        <v>30186</v>
      </c>
      <c r="R20" s="30">
        <v>129</v>
      </c>
      <c r="S20" s="22">
        <f t="shared" si="9"/>
        <v>132</v>
      </c>
      <c r="T20" s="26">
        <f t="shared" si="3"/>
        <v>0</v>
      </c>
      <c r="U20" s="26">
        <f t="shared" si="10"/>
        <v>280</v>
      </c>
      <c r="V20" s="25">
        <f t="shared" si="14"/>
        <v>30659</v>
      </c>
      <c r="W20" s="30">
        <v>16723</v>
      </c>
      <c r="X20" s="22">
        <v>16520</v>
      </c>
      <c r="Y20" s="22">
        <f t="shared" si="11"/>
        <v>77</v>
      </c>
      <c r="Z20" s="23">
        <v>26</v>
      </c>
      <c r="AA20" s="17" t="s">
        <v>8</v>
      </c>
    </row>
    <row r="21" spans="2:27" ht="18.75" x14ac:dyDescent="0.45">
      <c r="B21" s="33" t="s">
        <v>36</v>
      </c>
      <c r="C21" s="35">
        <v>170</v>
      </c>
      <c r="E21" s="22">
        <f t="shared" si="0"/>
        <v>14640000</v>
      </c>
      <c r="F21" s="21">
        <f t="shared" si="15"/>
        <v>261818.18181818179</v>
      </c>
      <c r="G21" s="22">
        <f t="shared" si="16"/>
        <v>206400000</v>
      </c>
      <c r="H21" s="26">
        <f t="shared" si="1"/>
        <v>32</v>
      </c>
      <c r="I21" s="29">
        <f t="shared" si="4"/>
        <v>3039</v>
      </c>
      <c r="J21" s="21">
        <f t="shared" si="2"/>
        <v>0</v>
      </c>
      <c r="K21" s="22">
        <f t="shared" si="5"/>
        <v>0</v>
      </c>
      <c r="L21" s="22">
        <f t="shared" si="12"/>
        <v>6</v>
      </c>
      <c r="M21" s="22" t="str">
        <f t="shared" si="6"/>
        <v>کار معمولی + اضافه کاری</v>
      </c>
      <c r="N21" s="23">
        <f t="shared" si="7"/>
        <v>52325</v>
      </c>
      <c r="O21" s="24">
        <v>0</v>
      </c>
      <c r="P21" s="24">
        <f t="shared" si="8"/>
        <v>16100</v>
      </c>
      <c r="Q21" s="24">
        <f>Z21*$C$22*R21</f>
        <v>36225</v>
      </c>
      <c r="R21" s="30">
        <v>161</v>
      </c>
      <c r="S21" s="22">
        <f t="shared" si="9"/>
        <v>162</v>
      </c>
      <c r="T21" s="26">
        <f t="shared" si="3"/>
        <v>0</v>
      </c>
      <c r="U21" s="26">
        <f t="shared" si="10"/>
        <v>915</v>
      </c>
      <c r="V21" s="25">
        <f>_xlfn.CEILING.MATH(W21*($C$27/60))</f>
        <v>36231</v>
      </c>
      <c r="W21" s="30">
        <v>19762</v>
      </c>
      <c r="X21" s="21">
        <v>19127</v>
      </c>
      <c r="Y21" s="26">
        <f t="shared" si="11"/>
        <v>280</v>
      </c>
      <c r="Z21" s="23">
        <v>25</v>
      </c>
      <c r="AA21" s="18" t="s">
        <v>9</v>
      </c>
    </row>
    <row r="22" spans="2:27" ht="18.75" x14ac:dyDescent="0.45">
      <c r="B22" s="33" t="s">
        <v>28</v>
      </c>
      <c r="C22" s="35">
        <v>9</v>
      </c>
      <c r="E22" s="22">
        <f t="shared" si="0"/>
        <v>68352000</v>
      </c>
      <c r="F22" s="21">
        <f t="shared" si="15"/>
        <v>0</v>
      </c>
      <c r="G22" s="22">
        <f t="shared" si="16"/>
        <v>6450000</v>
      </c>
      <c r="H22" s="22">
        <f t="shared" si="1"/>
        <v>1</v>
      </c>
      <c r="I22" s="29">
        <f t="shared" si="4"/>
        <v>-1581</v>
      </c>
      <c r="J22" s="22">
        <f t="shared" si="2"/>
        <v>2929000</v>
      </c>
      <c r="K22" s="22">
        <f t="shared" si="5"/>
        <v>202</v>
      </c>
      <c r="L22" s="22">
        <f t="shared" si="12"/>
        <v>0</v>
      </c>
      <c r="M22" s="22" t="str">
        <f t="shared" si="6"/>
        <v>کار معمولی</v>
      </c>
      <c r="N22" s="23">
        <f t="shared" si="7"/>
        <v>48438</v>
      </c>
      <c r="O22" s="24">
        <v>0</v>
      </c>
      <c r="P22" s="24">
        <f t="shared" si="8"/>
        <v>14904</v>
      </c>
      <c r="Q22" s="24">
        <f t="shared" si="13"/>
        <v>33534</v>
      </c>
      <c r="R22" s="30">
        <v>162</v>
      </c>
      <c r="S22" s="22">
        <f t="shared" si="9"/>
        <v>162</v>
      </c>
      <c r="T22" s="26">
        <f t="shared" si="3"/>
        <v>0</v>
      </c>
      <c r="U22" s="26">
        <f t="shared" si="10"/>
        <v>4272</v>
      </c>
      <c r="V22" s="25">
        <f t="shared" si="14"/>
        <v>33332</v>
      </c>
      <c r="W22" s="30">
        <v>18181</v>
      </c>
      <c r="X22" s="22">
        <v>14824</v>
      </c>
      <c r="Y22" s="22">
        <f t="shared" si="11"/>
        <v>915</v>
      </c>
      <c r="Z22" s="23">
        <v>23</v>
      </c>
      <c r="AA22" s="17" t="s">
        <v>10</v>
      </c>
    </row>
    <row r="23" spans="2:27" ht="18.75" x14ac:dyDescent="0.45">
      <c r="B23" s="33" t="s">
        <v>30</v>
      </c>
      <c r="C23" s="35">
        <v>4</v>
      </c>
      <c r="E23" s="22">
        <f t="shared" si="0"/>
        <v>38400000</v>
      </c>
      <c r="F23" s="21">
        <f t="shared" si="15"/>
        <v>0</v>
      </c>
      <c r="G23" s="22">
        <f t="shared" si="16"/>
        <v>0</v>
      </c>
      <c r="H23" s="26">
        <f t="shared" si="1"/>
        <v>0</v>
      </c>
      <c r="I23" s="29">
        <f t="shared" si="4"/>
        <v>791</v>
      </c>
      <c r="J23" s="21">
        <f t="shared" si="2"/>
        <v>3045000</v>
      </c>
      <c r="K23" s="22">
        <f t="shared" si="5"/>
        <v>210</v>
      </c>
      <c r="L23" s="22">
        <f t="shared" si="12"/>
        <v>0</v>
      </c>
      <c r="M23" s="22" t="str">
        <f t="shared" si="6"/>
        <v>کار معمولی</v>
      </c>
      <c r="N23" s="23">
        <f t="shared" si="7"/>
        <v>50544</v>
      </c>
      <c r="O23" s="24">
        <v>0</v>
      </c>
      <c r="P23" s="24">
        <f t="shared" si="8"/>
        <v>15552</v>
      </c>
      <c r="Q23" s="24">
        <f t="shared" si="13"/>
        <v>34992</v>
      </c>
      <c r="R23" s="30">
        <v>162</v>
      </c>
      <c r="S23" s="22">
        <f t="shared" si="9"/>
        <v>162</v>
      </c>
      <c r="T23" s="26">
        <f>MAX(0,X23-W23-Y23+T22)</f>
        <v>0</v>
      </c>
      <c r="U23" s="26">
        <f>Y12</f>
        <v>2400</v>
      </c>
      <c r="V23" s="25">
        <f>_xlfn.CEILING.MATH(W23*($C$27/60))</f>
        <v>34782</v>
      </c>
      <c r="W23" s="30">
        <v>18972</v>
      </c>
      <c r="X23" s="21">
        <v>20844</v>
      </c>
      <c r="Y23" s="26">
        <f t="shared" si="11"/>
        <v>4272</v>
      </c>
      <c r="Z23" s="23">
        <v>24</v>
      </c>
      <c r="AA23" s="18" t="s">
        <v>11</v>
      </c>
    </row>
    <row r="24" spans="2:27" x14ac:dyDescent="0.45">
      <c r="B24" s="36" t="s">
        <v>31</v>
      </c>
      <c r="C24" s="35">
        <v>1000</v>
      </c>
      <c r="E24" s="27">
        <f>SUM(E12:E23)</f>
        <v>292512000</v>
      </c>
      <c r="F24" s="27">
        <f t="shared" ref="F24:G24" si="17">SUM(F12:F23)</f>
        <v>30327272.72727273</v>
      </c>
      <c r="G24" s="27">
        <f t="shared" si="17"/>
        <v>458300000</v>
      </c>
      <c r="H24" s="27"/>
      <c r="I24" s="27"/>
      <c r="J24" s="27">
        <f>SUM(J12:J23)</f>
        <v>5974000</v>
      </c>
      <c r="K24" s="27">
        <f>SUM(J12:J23)</f>
        <v>5974000</v>
      </c>
      <c r="L24" s="27">
        <f>SUM(K12:K23)</f>
        <v>412</v>
      </c>
      <c r="M24" s="27">
        <f>SUM(L12:L23)</f>
        <v>695</v>
      </c>
      <c r="N24" s="22"/>
      <c r="O24" s="28"/>
      <c r="P24" s="28"/>
      <c r="Q24" s="28"/>
      <c r="R24" s="28"/>
      <c r="S24" s="27"/>
      <c r="T24" s="27"/>
      <c r="U24" s="27"/>
      <c r="V24" s="27"/>
      <c r="W24" s="27">
        <f>SUM(W12:W23)</f>
        <v>185652</v>
      </c>
      <c r="X24" s="27">
        <f>SUM(X12:X23)</f>
        <v>185652</v>
      </c>
      <c r="Y24" s="27"/>
      <c r="Z24" s="27">
        <f>SUM(Z12:Z23)</f>
        <v>288</v>
      </c>
      <c r="AA24" s="27" t="s">
        <v>47</v>
      </c>
    </row>
    <row r="25" spans="2:27" x14ac:dyDescent="0.45">
      <c r="B25" s="36" t="s">
        <v>68</v>
      </c>
      <c r="C25" s="35">
        <v>500</v>
      </c>
      <c r="E25" s="61">
        <f>E24+F24+G24+J24</f>
        <v>787113272.72727275</v>
      </c>
      <c r="F25" s="61"/>
      <c r="G25" s="61"/>
      <c r="H25" s="61"/>
      <c r="I25" s="61"/>
      <c r="J25" s="63" t="s">
        <v>76</v>
      </c>
      <c r="K25" s="63"/>
      <c r="L25" s="15"/>
      <c r="Y25" s="14">
        <v>15471</v>
      </c>
      <c r="AA25" s="15"/>
    </row>
    <row r="26" spans="2:27" ht="18.75" thickBot="1" x14ac:dyDescent="0.5">
      <c r="B26" s="33" t="s">
        <v>38</v>
      </c>
      <c r="C26" s="35">
        <v>0</v>
      </c>
      <c r="E26" s="62"/>
      <c r="F26" s="62"/>
      <c r="G26" s="62"/>
      <c r="H26" s="62"/>
      <c r="I26" s="62"/>
      <c r="J26" s="64"/>
      <c r="K26" s="64"/>
      <c r="L26" s="15"/>
      <c r="AA26" s="15"/>
    </row>
    <row r="27" spans="2:27" ht="32.25" thickBot="1" x14ac:dyDescent="0.8">
      <c r="B27" s="33" t="s">
        <v>34</v>
      </c>
      <c r="C27" s="35">
        <v>110</v>
      </c>
      <c r="E27" s="41">
        <f>E24/$E$25</f>
        <v>0.37162630860800211</v>
      </c>
      <c r="F27" s="42">
        <f t="shared" ref="F27:G27" si="18">F24/$E$25</f>
        <v>3.8529743784133645E-2</v>
      </c>
      <c r="G27" s="42">
        <f t="shared" si="18"/>
        <v>0.58225418866592604</v>
      </c>
      <c r="H27" s="39"/>
      <c r="I27" s="39"/>
      <c r="J27" s="40">
        <f t="shared" ref="J27" si="19">J24/$E$25</f>
        <v>7.5897589419381241E-3</v>
      </c>
    </row>
    <row r="28" spans="2:27" x14ac:dyDescent="0.45">
      <c r="B28" s="33" t="s">
        <v>35</v>
      </c>
      <c r="C28" s="35">
        <v>133</v>
      </c>
      <c r="E28" s="61">
        <f>W24*C11</f>
        <v>161517240000</v>
      </c>
      <c r="F28" s="61"/>
      <c r="G28" s="61"/>
      <c r="H28" s="61"/>
      <c r="I28" s="61"/>
      <c r="J28" s="63" t="s">
        <v>75</v>
      </c>
      <c r="K28" s="63"/>
    </row>
    <row r="29" spans="2:27" ht="18.75" thickBot="1" x14ac:dyDescent="0.5">
      <c r="B29" s="37" t="s">
        <v>58</v>
      </c>
      <c r="C29" s="38">
        <v>2400</v>
      </c>
      <c r="E29" s="62"/>
      <c r="F29" s="62"/>
      <c r="G29" s="62"/>
      <c r="H29" s="62"/>
      <c r="I29" s="62"/>
      <c r="J29" s="64"/>
      <c r="K29" s="64"/>
    </row>
    <row r="30" spans="2:27" x14ac:dyDescent="0.45">
      <c r="E30" s="61">
        <f>E28+E25</f>
        <v>162304353272.72726</v>
      </c>
      <c r="F30" s="61"/>
      <c r="G30" s="61"/>
      <c r="H30" s="61"/>
      <c r="I30" s="61"/>
      <c r="J30" s="63" t="s">
        <v>47</v>
      </c>
      <c r="K30" s="63"/>
    </row>
    <row r="31" spans="2:27" x14ac:dyDescent="0.45">
      <c r="E31" s="62"/>
      <c r="F31" s="62"/>
      <c r="G31" s="62"/>
      <c r="H31" s="62"/>
      <c r="I31" s="62"/>
      <c r="J31" s="64"/>
      <c r="K31" s="64"/>
    </row>
  </sheetData>
  <sheetProtection algorithmName="SHA-512" hashValue="ZdQcy1307iOwA2uJQNKaUXKzQqkTQptQQVBsLGsAetuVQt72VHX42Z3Vwq6rcvb5uhiyWpaT3xi9PK+eyn3/Mg==" saltValue="cV0L5qT4IfEvRIv+a8IKHw==" spinCount="100000" sheet="1" objects="1" scenarios="1"/>
  <mergeCells count="27">
    <mergeCell ref="M5:R6"/>
    <mergeCell ref="G7:H7"/>
    <mergeCell ref="E8:E10"/>
    <mergeCell ref="F8:F10"/>
    <mergeCell ref="G8:G10"/>
    <mergeCell ref="H8:H10"/>
    <mergeCell ref="I8:I10"/>
    <mergeCell ref="J8:J10"/>
    <mergeCell ref="K8:K10"/>
    <mergeCell ref="L8:L10"/>
    <mergeCell ref="T8:T10"/>
    <mergeCell ref="V8:V10"/>
    <mergeCell ref="Y8:Y10"/>
    <mergeCell ref="Z8:Z10"/>
    <mergeCell ref="E25:I26"/>
    <mergeCell ref="J25:K26"/>
    <mergeCell ref="M8:M10"/>
    <mergeCell ref="N8:N10"/>
    <mergeCell ref="O8:O10"/>
    <mergeCell ref="P8:P10"/>
    <mergeCell ref="Q8:Q10"/>
    <mergeCell ref="R8:R10"/>
    <mergeCell ref="E28:I29"/>
    <mergeCell ref="J28:K29"/>
    <mergeCell ref="E30:I31"/>
    <mergeCell ref="J30:K31"/>
    <mergeCell ref="S8:S10"/>
  </mergeCells>
  <conditionalFormatting sqref="Q12:Q23">
    <cfRule type="expression" dxfId="18" priority="18">
      <formula>IF(Q12&lt;V12,1,0)</formula>
    </cfRule>
  </conditionalFormatting>
  <conditionalFormatting sqref="N12:N23">
    <cfRule type="expression" dxfId="17" priority="17">
      <formula>IF(N12&gt;V12,1,0)</formula>
    </cfRule>
  </conditionalFormatting>
  <conditionalFormatting sqref="H12:H23">
    <cfRule type="cellIs" dxfId="16" priority="14" operator="lessThan">
      <formula>0</formula>
    </cfRule>
    <cfRule type="cellIs" dxfId="15" priority="16" operator="greaterThan">
      <formula>0</formula>
    </cfRule>
  </conditionalFormatting>
  <conditionalFormatting sqref="G12:G23">
    <cfRule type="expression" dxfId="14" priority="15">
      <formula>IF(H12&lt;0,1,0)</formula>
    </cfRule>
  </conditionalFormatting>
  <conditionalFormatting sqref="H24 G12:G23">
    <cfRule type="expression" dxfId="13" priority="13">
      <formula>IF(H12&gt;0,1,0)</formula>
    </cfRule>
  </conditionalFormatting>
  <conditionalFormatting sqref="H12:H23">
    <cfRule type="expression" dxfId="12" priority="19">
      <formula>IF(J12&lt;0,1,0)</formula>
    </cfRule>
  </conditionalFormatting>
  <conditionalFormatting sqref="I12:I23">
    <cfRule type="cellIs" dxfId="11" priority="1" operator="equal">
      <formula>0</formula>
    </cfRule>
    <cfRule type="cellIs" dxfId="10" priority="12" operator="between">
      <formula>$C$25-1</formula>
      <formula>-$C$25+1</formula>
    </cfRule>
  </conditionalFormatting>
  <conditionalFormatting sqref="T12:T23">
    <cfRule type="cellIs" dxfId="9" priority="11" operator="greaterThan">
      <formula>$C$15</formula>
    </cfRule>
  </conditionalFormatting>
  <conditionalFormatting sqref="U11:U23">
    <cfRule type="cellIs" dxfId="8" priority="10" operator="greaterThan">
      <formula>$C$16</formula>
    </cfRule>
  </conditionalFormatting>
  <conditionalFormatting sqref="Y12:Y23">
    <cfRule type="cellIs" dxfId="7" priority="9" operator="lessThan">
      <formula>$C$26</formula>
    </cfRule>
  </conditionalFormatting>
  <conditionalFormatting sqref="Z12:Z23">
    <cfRule type="cellIs" dxfId="6" priority="8" operator="between">
      <formula>15</formula>
      <formula>28</formula>
    </cfRule>
  </conditionalFormatting>
  <conditionalFormatting sqref="W24:X24">
    <cfRule type="cellIs" dxfId="5" priority="7" operator="notEqual">
      <formula>$X$24</formula>
    </cfRule>
  </conditionalFormatting>
  <conditionalFormatting sqref="V12:V23">
    <cfRule type="expression" dxfId="4" priority="6">
      <formula>IF(N12&lt;V12,1,0)</formula>
    </cfRule>
  </conditionalFormatting>
  <conditionalFormatting sqref="E12:E23">
    <cfRule type="expression" dxfId="3" priority="4">
      <formula>IF(U12&gt;0,1,0)</formula>
    </cfRule>
    <cfRule type="expression" dxfId="2" priority="5">
      <formula>IF(T12&gt;0,1,0)</formula>
    </cfRule>
  </conditionalFormatting>
  <conditionalFormatting sqref="F12:F23">
    <cfRule type="cellIs" dxfId="1" priority="3" operator="greaterThan">
      <formula>0</formula>
    </cfRule>
  </conditionalFormatting>
  <conditionalFormatting sqref="J12:J23">
    <cfRule type="cellIs" dxfId="0" priority="2" operator="greaterThan">
      <formula>0</formula>
    </cfRule>
  </conditionalFormatting>
  <dataValidations count="1">
    <dataValidation type="whole" allowBlank="1" showInputMessage="1" showErrorMessage="1" sqref="R12:R23" xr:uid="{2908A4A6-0D1F-40D9-8440-0767E8094A40}">
      <formula1>$C$20</formula1>
      <formula2>$C$21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HOME</vt:lpstr>
      <vt:lpstr>Mixed Chase</vt:lpstr>
      <vt:lpstr>Level</vt:lpstr>
      <vt:lpstr>Hybrid 1</vt:lpstr>
      <vt:lpstr>Hybrid 2</vt:lpstr>
      <vt:lpstr>Workers Strategy</vt:lpstr>
      <vt:lpstr>Inventory Strategy</vt:lpstr>
      <vt:lpstr>Lingo</vt:lpstr>
      <vt:lpstr>Result</vt:lpstr>
      <vt:lpstr>تولید یکنواخت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saeed</dc:creator>
  <cp:lastModifiedBy>Ali Jooyafar</cp:lastModifiedBy>
  <dcterms:created xsi:type="dcterms:W3CDTF">2021-04-26T03:15:37Z</dcterms:created>
  <dcterms:modified xsi:type="dcterms:W3CDTF">2022-06-21T09:44:30Z</dcterms:modified>
</cp:coreProperties>
</file>