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Ali\DOC\UNI\Yazduni_992\PP\3992\"/>
    </mc:Choice>
  </mc:AlternateContent>
  <xr:revisionPtr revIDLastSave="0" documentId="13_ncr:1_{EF072D0F-891C-4230-9F4D-18AE47DC11C8}" xr6:coauthVersionLast="47" xr6:coauthVersionMax="47" xr10:uidLastSave="{00000000-0000-0000-0000-000000000000}"/>
  <bookViews>
    <workbookView xWindow="-120" yWindow="330" windowWidth="24240" windowHeight="13290" tabRatio="731" activeTab="10" xr2:uid="{9712258D-D557-4199-9F60-16BEFD283621}"/>
  </bookViews>
  <sheets>
    <sheet name="Home" sheetId="10" r:id="rId1"/>
    <sheet name="data" sheetId="1" r:id="rId2"/>
    <sheet name="Vulcan10" sheetId="3" r:id="rId3"/>
    <sheet name="MRP A" sheetId="4" r:id="rId4"/>
    <sheet name="MRP A1" sheetId="5" r:id="rId5"/>
    <sheet name="MRP A2" sheetId="6" r:id="rId6"/>
    <sheet name="MRP B" sheetId="7" r:id="rId7"/>
    <sheet name="MRP C" sheetId="8" r:id="rId8"/>
    <sheet name="MRP D" sheetId="9" r:id="rId9"/>
    <sheet name="PORs" sheetId="11" r:id="rId10"/>
    <sheet name="CRP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1" l="1"/>
  <c r="E5" i="11"/>
  <c r="F5" i="11"/>
  <c r="G5" i="11"/>
  <c r="H5" i="11"/>
  <c r="I5" i="11"/>
  <c r="J5" i="11"/>
  <c r="D6" i="11"/>
  <c r="E6" i="11"/>
  <c r="F6" i="11"/>
  <c r="G6" i="11"/>
  <c r="H6" i="11"/>
  <c r="I6" i="11"/>
  <c r="J6" i="11"/>
  <c r="D7" i="11"/>
  <c r="E7" i="11"/>
  <c r="F7" i="11"/>
  <c r="G7" i="11"/>
  <c r="H7" i="11"/>
  <c r="I7" i="11"/>
  <c r="J7" i="11"/>
  <c r="D8" i="11"/>
  <c r="E8" i="11"/>
  <c r="F8" i="11"/>
  <c r="G8" i="11"/>
  <c r="H8" i="11"/>
  <c r="I8" i="11"/>
  <c r="J8" i="11"/>
  <c r="D9" i="11"/>
  <c r="E9" i="11"/>
  <c r="F9" i="11"/>
  <c r="G9" i="11"/>
  <c r="H9" i="11"/>
  <c r="I9" i="11"/>
  <c r="J9" i="11"/>
  <c r="D10" i="11"/>
  <c r="E10" i="11"/>
  <c r="F10" i="11"/>
  <c r="G10" i="11"/>
  <c r="H10" i="11"/>
  <c r="I10" i="11"/>
  <c r="J10" i="11"/>
  <c r="C10" i="11"/>
  <c r="C9" i="11"/>
  <c r="C8" i="11"/>
  <c r="C7" i="11"/>
  <c r="C6" i="11"/>
  <c r="C5" i="11"/>
  <c r="N15" i="1" l="1"/>
  <c r="O15" i="1" s="1"/>
  <c r="P15" i="1" s="1"/>
  <c r="O16" i="1"/>
  <c r="P16" i="1" s="1"/>
  <c r="O20" i="1"/>
  <c r="P20" i="1" s="1"/>
  <c r="O24" i="1"/>
  <c r="P24" i="1" s="1"/>
  <c r="N17" i="1"/>
  <c r="O17" i="1" s="1"/>
  <c r="P17" i="1" s="1"/>
  <c r="N16" i="1"/>
  <c r="N18" i="1"/>
  <c r="O18" i="1" s="1"/>
  <c r="P18" i="1" s="1"/>
  <c r="N19" i="1"/>
  <c r="O19" i="1" s="1"/>
  <c r="P19" i="1" s="1"/>
  <c r="N20" i="1"/>
  <c r="N21" i="1"/>
  <c r="O21" i="1" s="1"/>
  <c r="P21" i="1" s="1"/>
  <c r="N22" i="1"/>
  <c r="O22" i="1" s="1"/>
  <c r="P22" i="1" s="1"/>
  <c r="N23" i="1"/>
  <c r="O23" i="1" s="1"/>
  <c r="P23" i="1" s="1"/>
  <c r="N24" i="1"/>
  <c r="Z20" i="13"/>
  <c r="AB13" i="13"/>
  <c r="AC13" i="13" s="1"/>
  <c r="P16" i="13"/>
  <c r="Q16" i="13"/>
  <c r="R16" i="13"/>
  <c r="S16" i="13"/>
  <c r="T16" i="13"/>
  <c r="Q17" i="13"/>
  <c r="R17" i="13"/>
  <c r="S17" i="13"/>
  <c r="T17" i="13"/>
  <c r="R18" i="13"/>
  <c r="S18" i="13"/>
  <c r="T18" i="13"/>
  <c r="Q19" i="13"/>
  <c r="R19" i="13"/>
  <c r="S19" i="13"/>
  <c r="T19" i="13"/>
  <c r="R20" i="13"/>
  <c r="S20" i="13"/>
  <c r="T20" i="13"/>
  <c r="R15" i="13"/>
  <c r="S15" i="13"/>
  <c r="T15" i="13"/>
  <c r="P6" i="13"/>
  <c r="Q6" i="13"/>
  <c r="R6" i="13"/>
  <c r="S6" i="13"/>
  <c r="T6" i="13"/>
  <c r="Q7" i="13"/>
  <c r="R7" i="13"/>
  <c r="S7" i="13"/>
  <c r="T7" i="13"/>
  <c r="R8" i="13"/>
  <c r="S8" i="13"/>
  <c r="T8" i="13"/>
  <c r="Q9" i="13"/>
  <c r="R9" i="13"/>
  <c r="S9" i="13"/>
  <c r="T9" i="13"/>
  <c r="R10" i="13"/>
  <c r="S10" i="13"/>
  <c r="T10" i="13"/>
  <c r="R5" i="13"/>
  <c r="S5" i="13"/>
  <c r="T5" i="13"/>
  <c r="F16" i="13"/>
  <c r="G16" i="13"/>
  <c r="H16" i="13"/>
  <c r="I16" i="13"/>
  <c r="J16" i="13"/>
  <c r="G17" i="13"/>
  <c r="H17" i="13"/>
  <c r="I17" i="13"/>
  <c r="J17" i="13"/>
  <c r="H18" i="13"/>
  <c r="I8" i="13" s="1"/>
  <c r="I18" i="13"/>
  <c r="J8" i="13" s="1"/>
  <c r="J18" i="13"/>
  <c r="G19" i="13"/>
  <c r="H19" i="13"/>
  <c r="I19" i="13"/>
  <c r="J19" i="13"/>
  <c r="H15" i="13"/>
  <c r="I15" i="13"/>
  <c r="J15" i="13"/>
  <c r="F6" i="13"/>
  <c r="G6" i="13"/>
  <c r="H6" i="13"/>
  <c r="I6" i="13"/>
  <c r="J6" i="13"/>
  <c r="G7" i="13"/>
  <c r="H7" i="13"/>
  <c r="I7" i="13"/>
  <c r="J7" i="13"/>
  <c r="G9" i="13"/>
  <c r="H9" i="13"/>
  <c r="I9" i="13"/>
  <c r="J9" i="13"/>
  <c r="H10" i="13"/>
  <c r="I20" i="13" s="1"/>
  <c r="I10" i="13"/>
  <c r="J20" i="13" s="1"/>
  <c r="J10" i="13"/>
  <c r="H5" i="13"/>
  <c r="I5" i="13"/>
  <c r="J5" i="13"/>
  <c r="M20" i="1"/>
  <c r="M21" i="1"/>
  <c r="M22" i="1"/>
  <c r="M23" i="1"/>
  <c r="M24" i="1"/>
  <c r="M15" i="1"/>
  <c r="P17" i="13" s="1"/>
  <c r="M16" i="1"/>
  <c r="P7" i="13" s="1"/>
  <c r="M17" i="1"/>
  <c r="M18" i="1"/>
  <c r="M19" i="1"/>
  <c r="D9" i="3"/>
  <c r="D12" i="3" s="1"/>
  <c r="E9" i="3"/>
  <c r="F9" i="3"/>
  <c r="G9" i="3"/>
  <c r="H9" i="3"/>
  <c r="I9" i="3"/>
  <c r="J9" i="3"/>
  <c r="K9" i="3"/>
  <c r="D24" i="4"/>
  <c r="E24" i="4"/>
  <c r="F24" i="4"/>
  <c r="G24" i="4"/>
  <c r="H24" i="4"/>
  <c r="I24" i="4"/>
  <c r="J24" i="4"/>
  <c r="K24" i="4"/>
  <c r="D31" i="3"/>
  <c r="D10" i="1"/>
  <c r="D40" i="1" l="1"/>
  <c r="D39" i="1"/>
  <c r="G43" i="1" s="1"/>
  <c r="F7" i="13"/>
  <c r="F17" i="13"/>
  <c r="I43" i="1"/>
  <c r="E43" i="1"/>
  <c r="D44" i="1"/>
  <c r="J43" i="1"/>
  <c r="F43" i="1"/>
  <c r="D43" i="1"/>
  <c r="H43" i="1"/>
  <c r="K43" i="1"/>
  <c r="S4" i="13"/>
  <c r="R14" i="13"/>
  <c r="R4" i="13"/>
  <c r="N16" i="13"/>
  <c r="S14" i="13"/>
  <c r="D6" i="13"/>
  <c r="C18" i="13"/>
  <c r="D8" i="13" s="1"/>
  <c r="M5" i="13"/>
  <c r="P8" i="13"/>
  <c r="Q20" i="13"/>
  <c r="M19" i="13"/>
  <c r="M16" i="13"/>
  <c r="D5" i="13"/>
  <c r="G10" i="13"/>
  <c r="H20" i="13" s="1"/>
  <c r="H14" i="13" s="1"/>
  <c r="C10" i="13"/>
  <c r="D20" i="13" s="1"/>
  <c r="C9" i="13"/>
  <c r="C8" i="13"/>
  <c r="C7" i="13"/>
  <c r="C6" i="13"/>
  <c r="G15" i="13"/>
  <c r="F19" i="13"/>
  <c r="F18" i="13"/>
  <c r="G8" i="13" s="1"/>
  <c r="T4" i="13"/>
  <c r="P5" i="13"/>
  <c r="O10" i="13"/>
  <c r="O9" i="13"/>
  <c r="O8" i="13"/>
  <c r="O7" i="13"/>
  <c r="O6" i="13"/>
  <c r="M15" i="13"/>
  <c r="Q15" i="13"/>
  <c r="P20" i="13"/>
  <c r="P19" i="13"/>
  <c r="P18" i="13"/>
  <c r="D10" i="13"/>
  <c r="E20" i="13" s="1"/>
  <c r="D7" i="13"/>
  <c r="C20" i="13"/>
  <c r="G18" i="13"/>
  <c r="H8" i="13" s="1"/>
  <c r="C16" i="13"/>
  <c r="P10" i="13"/>
  <c r="C15" i="13"/>
  <c r="N15" i="13"/>
  <c r="Q18" i="13"/>
  <c r="M17" i="13"/>
  <c r="C5" i="13"/>
  <c r="G5" i="13"/>
  <c r="F10" i="13"/>
  <c r="G20" i="13" s="1"/>
  <c r="F9" i="13"/>
  <c r="F15" i="13"/>
  <c r="E19" i="13"/>
  <c r="E18" i="13"/>
  <c r="F8" i="13" s="1"/>
  <c r="E17" i="13"/>
  <c r="E16" i="13"/>
  <c r="O5" i="13"/>
  <c r="N10" i="13"/>
  <c r="N9" i="13"/>
  <c r="N8" i="13"/>
  <c r="N7" i="13"/>
  <c r="N6" i="13"/>
  <c r="P15" i="13"/>
  <c r="O20" i="13"/>
  <c r="O19" i="13"/>
  <c r="O18" i="13"/>
  <c r="O17" i="13"/>
  <c r="O16" i="13"/>
  <c r="E5" i="13"/>
  <c r="D9" i="13"/>
  <c r="D15" i="13"/>
  <c r="C19" i="13"/>
  <c r="C17" i="13"/>
  <c r="Q5" i="13"/>
  <c r="P9" i="13"/>
  <c r="M20" i="13"/>
  <c r="M18" i="13"/>
  <c r="F5" i="13"/>
  <c r="E10" i="13"/>
  <c r="F20" i="13" s="1"/>
  <c r="E9" i="13"/>
  <c r="E7" i="13"/>
  <c r="E6" i="13"/>
  <c r="E15" i="13"/>
  <c r="D19" i="13"/>
  <c r="D18" i="13"/>
  <c r="E8" i="13" s="1"/>
  <c r="D17" i="13"/>
  <c r="D16" i="13"/>
  <c r="N5" i="13"/>
  <c r="Q10" i="13"/>
  <c r="M10" i="13"/>
  <c r="M9" i="13"/>
  <c r="Q8" i="13"/>
  <c r="M8" i="13"/>
  <c r="M7" i="13"/>
  <c r="M6" i="13"/>
  <c r="O15" i="13"/>
  <c r="N20" i="13"/>
  <c r="N19" i="13"/>
  <c r="N18" i="13"/>
  <c r="N17" i="13"/>
  <c r="I14" i="13"/>
  <c r="T14" i="13"/>
  <c r="J14" i="13"/>
  <c r="I4" i="13"/>
  <c r="AE4" i="13" s="1"/>
  <c r="AE25" i="13" s="1"/>
  <c r="H4" i="13"/>
  <c r="J4" i="13"/>
  <c r="E24" i="9"/>
  <c r="F24" i="9"/>
  <c r="G24" i="9"/>
  <c r="H24" i="9"/>
  <c r="I24" i="9"/>
  <c r="J24" i="9"/>
  <c r="K24" i="9"/>
  <c r="D24" i="9"/>
  <c r="D9" i="9"/>
  <c r="C26" i="9"/>
  <c r="E24" i="8"/>
  <c r="F24" i="8"/>
  <c r="G24" i="8"/>
  <c r="H24" i="8"/>
  <c r="I24" i="8"/>
  <c r="J24" i="8"/>
  <c r="K24" i="8"/>
  <c r="D24" i="8"/>
  <c r="D31" i="8" s="1"/>
  <c r="D32" i="8" s="1"/>
  <c r="D9" i="8"/>
  <c r="C26" i="8"/>
  <c r="D27" i="8" s="1"/>
  <c r="E24" i="7"/>
  <c r="F24" i="7"/>
  <c r="G24" i="7"/>
  <c r="H24" i="7"/>
  <c r="I24" i="7"/>
  <c r="J24" i="7"/>
  <c r="K24" i="7"/>
  <c r="D24" i="7"/>
  <c r="D31" i="7" s="1"/>
  <c r="D32" i="7" s="1"/>
  <c r="D9" i="7"/>
  <c r="C26" i="7"/>
  <c r="E24" i="6"/>
  <c r="F24" i="6"/>
  <c r="G24" i="6"/>
  <c r="H24" i="6"/>
  <c r="I24" i="6"/>
  <c r="J24" i="6"/>
  <c r="K24" i="6"/>
  <c r="D24" i="6"/>
  <c r="D31" i="6" s="1"/>
  <c r="D32" i="6" s="1"/>
  <c r="D9" i="6"/>
  <c r="C26" i="6"/>
  <c r="D27" i="6" s="1"/>
  <c r="E24" i="5"/>
  <c r="F24" i="5"/>
  <c r="G24" i="5"/>
  <c r="H24" i="5"/>
  <c r="I24" i="5"/>
  <c r="J24" i="5"/>
  <c r="K24" i="5"/>
  <c r="D24" i="5"/>
  <c r="D31" i="5" s="1"/>
  <c r="D32" i="5" s="1"/>
  <c r="D9" i="5"/>
  <c r="C26" i="5"/>
  <c r="D26" i="4"/>
  <c r="E26" i="4" s="1"/>
  <c r="F27" i="4" s="1"/>
  <c r="D9" i="4"/>
  <c r="C26" i="4"/>
  <c r="D27" i="4" s="1"/>
  <c r="D31" i="4"/>
  <c r="D32" i="4" s="1"/>
  <c r="D32" i="3"/>
  <c r="E24" i="3"/>
  <c r="F24" i="3"/>
  <c r="G24" i="3"/>
  <c r="H24" i="3"/>
  <c r="I24" i="3"/>
  <c r="J24" i="3"/>
  <c r="K24" i="3"/>
  <c r="D24" i="3"/>
  <c r="D30" i="4" l="1"/>
  <c r="E27" i="4"/>
  <c r="D27" i="7"/>
  <c r="D27" i="9"/>
  <c r="D27" i="5"/>
  <c r="AD4" i="13"/>
  <c r="AD25" i="13" s="1"/>
  <c r="AD5" i="13"/>
  <c r="AD26" i="13" s="1"/>
  <c r="L43" i="1"/>
  <c r="O4" i="13"/>
  <c r="AF4" i="13"/>
  <c r="AF25" i="13" s="1"/>
  <c r="Q14" i="13"/>
  <c r="P14" i="13"/>
  <c r="Q4" i="13"/>
  <c r="AE5" i="13"/>
  <c r="AE26" i="13" s="1"/>
  <c r="E4" i="13"/>
  <c r="M14" i="13"/>
  <c r="P4" i="13"/>
  <c r="G14" i="13"/>
  <c r="N14" i="13"/>
  <c r="M4" i="13"/>
  <c r="F4" i="13"/>
  <c r="AB4" i="13" s="1"/>
  <c r="AB25" i="13" s="1"/>
  <c r="F14" i="13"/>
  <c r="C14" i="13"/>
  <c r="D14" i="13"/>
  <c r="D26" i="3"/>
  <c r="E27" i="3" s="1"/>
  <c r="D27" i="3"/>
  <c r="E14" i="13"/>
  <c r="O14" i="13"/>
  <c r="N4" i="13"/>
  <c r="AF5" i="13"/>
  <c r="AF26" i="13" s="1"/>
  <c r="G4" i="13"/>
  <c r="C4" i="13"/>
  <c r="D4" i="13"/>
  <c r="F26" i="4"/>
  <c r="G27" i="4" s="1"/>
  <c r="E30" i="4"/>
  <c r="D26" i="5"/>
  <c r="D26" i="9"/>
  <c r="D26" i="8"/>
  <c r="E27" i="8" s="1"/>
  <c r="D26" i="7"/>
  <c r="E27" i="7" s="1"/>
  <c r="D26" i="6"/>
  <c r="E27" i="6" s="1"/>
  <c r="H9" i="9"/>
  <c r="I9" i="9"/>
  <c r="J9" i="9"/>
  <c r="K9" i="9"/>
  <c r="H9" i="8"/>
  <c r="I9" i="8"/>
  <c r="J9" i="8"/>
  <c r="K9" i="8"/>
  <c r="H9" i="7"/>
  <c r="I9" i="7"/>
  <c r="J9" i="7"/>
  <c r="K9" i="7"/>
  <c r="H9" i="6"/>
  <c r="I9" i="6"/>
  <c r="J9" i="6"/>
  <c r="K9" i="6"/>
  <c r="H9" i="5"/>
  <c r="I9" i="5"/>
  <c r="J9" i="5"/>
  <c r="K9" i="5"/>
  <c r="H9" i="4"/>
  <c r="I9" i="4"/>
  <c r="J9" i="4"/>
  <c r="K9" i="4"/>
  <c r="D16" i="3"/>
  <c r="D17" i="3" s="1"/>
  <c r="C11" i="6"/>
  <c r="G9" i="6"/>
  <c r="F9" i="6"/>
  <c r="E9" i="6"/>
  <c r="C11" i="5"/>
  <c r="D10" i="5" s="1"/>
  <c r="E9" i="5"/>
  <c r="F9" i="5"/>
  <c r="G9" i="5"/>
  <c r="C11" i="9"/>
  <c r="E9" i="9"/>
  <c r="F9" i="9"/>
  <c r="G9" i="9"/>
  <c r="D10" i="9"/>
  <c r="AB15" i="13" s="1"/>
  <c r="AC15" i="13" s="1"/>
  <c r="Z19" i="13" s="1"/>
  <c r="C11" i="8"/>
  <c r="E9" i="8"/>
  <c r="E10" i="8" s="1"/>
  <c r="F9" i="8"/>
  <c r="F10" i="8" s="1"/>
  <c r="G9" i="8"/>
  <c r="D10" i="8"/>
  <c r="AB14" i="13" s="1"/>
  <c r="AC14" i="13" s="1"/>
  <c r="E9" i="7"/>
  <c r="F9" i="7"/>
  <c r="G9" i="7"/>
  <c r="C11" i="7"/>
  <c r="D10" i="7" s="1"/>
  <c r="C11" i="4"/>
  <c r="E9" i="4"/>
  <c r="F9" i="4"/>
  <c r="G9" i="4"/>
  <c r="D11" i="3"/>
  <c r="E12" i="3" s="1"/>
  <c r="E10" i="1"/>
  <c r="F10" i="1" s="1"/>
  <c r="F44" i="1" s="1"/>
  <c r="D11" i="1"/>
  <c r="D12" i="7" l="1"/>
  <c r="AB12" i="13"/>
  <c r="AC12" i="13" s="1"/>
  <c r="D12" i="5"/>
  <c r="AB10" i="13"/>
  <c r="AC10" i="13" s="1"/>
  <c r="D16" i="5"/>
  <c r="D12" i="9"/>
  <c r="D30" i="5"/>
  <c r="E27" i="5"/>
  <c r="E44" i="1"/>
  <c r="D10" i="6"/>
  <c r="D30" i="9"/>
  <c r="E27" i="9"/>
  <c r="D12" i="4"/>
  <c r="D10" i="4"/>
  <c r="AB9" i="13" s="1"/>
  <c r="AC9" i="13" s="1"/>
  <c r="G10" i="1"/>
  <c r="G44" i="1" s="1"/>
  <c r="AC4" i="13"/>
  <c r="AC25" i="13" s="1"/>
  <c r="AA4" i="13"/>
  <c r="AA25" i="13" s="1"/>
  <c r="AC5" i="13"/>
  <c r="AC26" i="13" s="1"/>
  <c r="D12" i="8"/>
  <c r="Z5" i="13"/>
  <c r="Z26" i="13" s="1"/>
  <c r="Y5" i="13"/>
  <c r="AB5" i="13"/>
  <c r="AB26" i="13" s="1"/>
  <c r="Z4" i="13"/>
  <c r="Z25" i="13" s="1"/>
  <c r="E26" i="3"/>
  <c r="F27" i="3" s="1"/>
  <c r="Y4" i="13"/>
  <c r="D30" i="3"/>
  <c r="AA5" i="13"/>
  <c r="AA26" i="13" s="1"/>
  <c r="H10" i="1"/>
  <c r="H44" i="1" s="1"/>
  <c r="E26" i="5"/>
  <c r="G26" i="4"/>
  <c r="F30" i="4"/>
  <c r="D31" i="9"/>
  <c r="D32" i="9" s="1"/>
  <c r="D30" i="8"/>
  <c r="E26" i="8"/>
  <c r="F27" i="8" s="1"/>
  <c r="D30" i="7"/>
  <c r="E26" i="7"/>
  <c r="F27" i="7" s="1"/>
  <c r="D30" i="6"/>
  <c r="E26" i="6"/>
  <c r="F27" i="6" s="1"/>
  <c r="D16" i="8"/>
  <c r="D17" i="8" s="1"/>
  <c r="D11" i="7"/>
  <c r="E12" i="7" s="1"/>
  <c r="D17" i="5"/>
  <c r="E11" i="3"/>
  <c r="D15" i="3"/>
  <c r="D11" i="5"/>
  <c r="E12" i="5" s="1"/>
  <c r="D11" i="9"/>
  <c r="D11" i="8"/>
  <c r="E12" i="8" s="1"/>
  <c r="F11" i="1"/>
  <c r="E11" i="1"/>
  <c r="AB11" i="13" l="1"/>
  <c r="AC11" i="13" s="1"/>
  <c r="D16" i="6"/>
  <c r="D17" i="6" s="1"/>
  <c r="G30" i="4"/>
  <c r="H27" i="4"/>
  <c r="G11" i="1"/>
  <c r="D12" i="6"/>
  <c r="D11" i="6"/>
  <c r="E12" i="6" s="1"/>
  <c r="F26" i="5"/>
  <c r="F27" i="5"/>
  <c r="Y19" i="13"/>
  <c r="Y25" i="13" s="1"/>
  <c r="E10" i="9"/>
  <c r="AB16" i="13" s="1"/>
  <c r="AC16" i="13" s="1"/>
  <c r="E30" i="3"/>
  <c r="F26" i="3"/>
  <c r="G27" i="3" s="1"/>
  <c r="E15" i="3"/>
  <c r="F12" i="3"/>
  <c r="I10" i="1"/>
  <c r="I44" i="1" s="1"/>
  <c r="H11" i="1"/>
  <c r="H26" i="4"/>
  <c r="I27" i="4" s="1"/>
  <c r="F30" i="3"/>
  <c r="E26" i="9"/>
  <c r="F27" i="9" s="1"/>
  <c r="F26" i="8"/>
  <c r="G27" i="8" s="1"/>
  <c r="E30" i="8"/>
  <c r="F26" i="7"/>
  <c r="G27" i="7" s="1"/>
  <c r="E30" i="7"/>
  <c r="F26" i="6"/>
  <c r="G27" i="6" s="1"/>
  <c r="E30" i="6"/>
  <c r="E30" i="5"/>
  <c r="D16" i="4"/>
  <c r="D17" i="4" s="1"/>
  <c r="D16" i="9"/>
  <c r="D17" i="9" s="1"/>
  <c r="D16" i="7"/>
  <c r="D17" i="7" s="1"/>
  <c r="D15" i="6"/>
  <c r="E11" i="6"/>
  <c r="F12" i="6" s="1"/>
  <c r="E11" i="5"/>
  <c r="F12" i="5" s="1"/>
  <c r="D15" i="5"/>
  <c r="D15" i="9"/>
  <c r="E11" i="8"/>
  <c r="F12" i="8" s="1"/>
  <c r="D15" i="8"/>
  <c r="D11" i="4"/>
  <c r="E12" i="4" s="1"/>
  <c r="E11" i="7"/>
  <c r="F12" i="7" s="1"/>
  <c r="D15" i="7"/>
  <c r="F11" i="3"/>
  <c r="G26" i="5" l="1"/>
  <c r="G27" i="5"/>
  <c r="Y20" i="13"/>
  <c r="Y26" i="13" s="1"/>
  <c r="E11" i="9"/>
  <c r="F12" i="9" s="1"/>
  <c r="E12" i="9"/>
  <c r="G26" i="3"/>
  <c r="H27" i="3" s="1"/>
  <c r="F15" i="3"/>
  <c r="G12" i="3"/>
  <c r="I26" i="4"/>
  <c r="J27" i="4" s="1"/>
  <c r="H30" i="4"/>
  <c r="H26" i="3"/>
  <c r="I27" i="3" s="1"/>
  <c r="I11" i="1"/>
  <c r="J10" i="1"/>
  <c r="J44" i="1" s="1"/>
  <c r="F26" i="9"/>
  <c r="E30" i="9"/>
  <c r="F30" i="8"/>
  <c r="G26" i="8"/>
  <c r="H27" i="8" s="1"/>
  <c r="F30" i="7"/>
  <c r="G26" i="7"/>
  <c r="H27" i="7" s="1"/>
  <c r="F30" i="6"/>
  <c r="G26" i="6"/>
  <c r="H27" i="6" s="1"/>
  <c r="F30" i="5"/>
  <c r="F11" i="6"/>
  <c r="G12" i="6" s="1"/>
  <c r="E15" i="6"/>
  <c r="F11" i="5"/>
  <c r="G12" i="5" s="1"/>
  <c r="E15" i="5"/>
  <c r="F11" i="9"/>
  <c r="G12" i="9" s="1"/>
  <c r="E15" i="9"/>
  <c r="F11" i="8"/>
  <c r="G12" i="8" s="1"/>
  <c r="E15" i="8"/>
  <c r="D15" i="4"/>
  <c r="E11" i="4"/>
  <c r="F11" i="7"/>
  <c r="G12" i="7" s="1"/>
  <c r="E15" i="7"/>
  <c r="G11" i="3"/>
  <c r="H12" i="3" s="1"/>
  <c r="H26" i="5" l="1"/>
  <c r="H27" i="5"/>
  <c r="G26" i="9"/>
  <c r="H27" i="9" s="1"/>
  <c r="G27" i="9"/>
  <c r="F11" i="4"/>
  <c r="G12" i="4" s="1"/>
  <c r="F12" i="4"/>
  <c r="G30" i="3"/>
  <c r="K10" i="1"/>
  <c r="J11" i="1"/>
  <c r="I26" i="3"/>
  <c r="J27" i="3" s="1"/>
  <c r="H30" i="3"/>
  <c r="J26" i="4"/>
  <c r="K27" i="4" s="1"/>
  <c r="I30" i="4"/>
  <c r="F30" i="9"/>
  <c r="H26" i="8"/>
  <c r="I27" i="8" s="1"/>
  <c r="G30" i="8"/>
  <c r="H26" i="7"/>
  <c r="I27" i="7" s="1"/>
  <c r="G30" i="7"/>
  <c r="H26" i="6"/>
  <c r="I27" i="6" s="1"/>
  <c r="G30" i="6"/>
  <c r="G30" i="5"/>
  <c r="G15" i="3"/>
  <c r="H11" i="3"/>
  <c r="I12" i="3" s="1"/>
  <c r="F15" i="6"/>
  <c r="G11" i="6"/>
  <c r="H12" i="6" s="1"/>
  <c r="F15" i="5"/>
  <c r="G11" i="5"/>
  <c r="H12" i="5" s="1"/>
  <c r="F15" i="9"/>
  <c r="G11" i="9"/>
  <c r="H12" i="9" s="1"/>
  <c r="F15" i="8"/>
  <c r="G11" i="8"/>
  <c r="H12" i="8" s="1"/>
  <c r="E15" i="4"/>
  <c r="F15" i="7"/>
  <c r="G11" i="7"/>
  <c r="H12" i="7" s="1"/>
  <c r="K11" i="1" l="1"/>
  <c r="K44" i="1"/>
  <c r="L44" i="1" s="1"/>
  <c r="I27" i="5"/>
  <c r="I26" i="5"/>
  <c r="J26" i="3"/>
  <c r="K27" i="3" s="1"/>
  <c r="I30" i="3"/>
  <c r="K26" i="4"/>
  <c r="K30" i="4" s="1"/>
  <c r="J30" i="4"/>
  <c r="G30" i="9"/>
  <c r="H26" i="9"/>
  <c r="I27" i="9" s="1"/>
  <c r="I26" i="8"/>
  <c r="J27" i="8" s="1"/>
  <c r="H30" i="8"/>
  <c r="H30" i="7"/>
  <c r="I26" i="7"/>
  <c r="J27" i="7" s="1"/>
  <c r="I26" i="6"/>
  <c r="J27" i="6" s="1"/>
  <c r="H30" i="6"/>
  <c r="H30" i="5"/>
  <c r="I11" i="3"/>
  <c r="J12" i="3" s="1"/>
  <c r="H15" i="3"/>
  <c r="G15" i="9"/>
  <c r="H11" i="9"/>
  <c r="I12" i="9" s="1"/>
  <c r="G15" i="8"/>
  <c r="H11" i="8"/>
  <c r="I12" i="8" s="1"/>
  <c r="G15" i="7"/>
  <c r="H11" i="7"/>
  <c r="I12" i="7" s="1"/>
  <c r="G15" i="6"/>
  <c r="G15" i="5"/>
  <c r="H11" i="5"/>
  <c r="I12" i="5" s="1"/>
  <c r="G11" i="4"/>
  <c r="H12" i="4" s="1"/>
  <c r="F15" i="4"/>
  <c r="D33" i="4" l="1"/>
  <c r="J26" i="5"/>
  <c r="J27" i="5"/>
  <c r="K26" i="3"/>
  <c r="K30" i="3" s="1"/>
  <c r="J30" i="3"/>
  <c r="I26" i="9"/>
  <c r="J27" i="9" s="1"/>
  <c r="H30" i="9"/>
  <c r="J26" i="8"/>
  <c r="K27" i="8" s="1"/>
  <c r="I30" i="8"/>
  <c r="J26" i="7"/>
  <c r="K27" i="7" s="1"/>
  <c r="I30" i="7"/>
  <c r="J26" i="6"/>
  <c r="K27" i="6" s="1"/>
  <c r="I30" i="6"/>
  <c r="I30" i="5"/>
  <c r="I15" i="3"/>
  <c r="J11" i="3"/>
  <c r="K12" i="3" s="1"/>
  <c r="H15" i="9"/>
  <c r="I11" i="9"/>
  <c r="J12" i="9" s="1"/>
  <c r="I11" i="8"/>
  <c r="J12" i="8" s="1"/>
  <c r="H15" i="8"/>
  <c r="I11" i="7"/>
  <c r="J12" i="7" s="1"/>
  <c r="H15" i="7"/>
  <c r="H11" i="6"/>
  <c r="I12" i="6" s="1"/>
  <c r="H15" i="5"/>
  <c r="I11" i="5"/>
  <c r="J12" i="5" s="1"/>
  <c r="G15" i="4"/>
  <c r="K26" i="5" l="1"/>
  <c r="K27" i="5"/>
  <c r="D33" i="3"/>
  <c r="J26" i="9"/>
  <c r="K27" i="9" s="1"/>
  <c r="I30" i="9"/>
  <c r="J30" i="8"/>
  <c r="K26" i="8"/>
  <c r="K30" i="8" s="1"/>
  <c r="D33" i="8" s="1"/>
  <c r="J30" i="7"/>
  <c r="K26" i="7"/>
  <c r="K30" i="7" s="1"/>
  <c r="J30" i="6"/>
  <c r="K26" i="6"/>
  <c r="K30" i="6" s="1"/>
  <c r="D33" i="6" s="1"/>
  <c r="J30" i="5"/>
  <c r="K30" i="5"/>
  <c r="J15" i="3"/>
  <c r="K11" i="3"/>
  <c r="K15" i="3" s="1"/>
  <c r="J11" i="9"/>
  <c r="K12" i="9" s="1"/>
  <c r="I15" i="9"/>
  <c r="I15" i="8"/>
  <c r="J11" i="8"/>
  <c r="K12" i="8" s="1"/>
  <c r="I15" i="7"/>
  <c r="J11" i="7"/>
  <c r="K12" i="7" s="1"/>
  <c r="I11" i="6"/>
  <c r="J12" i="6" s="1"/>
  <c r="H15" i="6"/>
  <c r="J11" i="5"/>
  <c r="K12" i="5" s="1"/>
  <c r="I15" i="5"/>
  <c r="H11" i="4"/>
  <c r="I12" i="4" s="1"/>
  <c r="D33" i="5" l="1"/>
  <c r="D33" i="7"/>
  <c r="D18" i="3"/>
  <c r="P22" i="3" s="1"/>
  <c r="J30" i="9"/>
  <c r="K26" i="9"/>
  <c r="K30" i="9" s="1"/>
  <c r="J15" i="9"/>
  <c r="K11" i="9"/>
  <c r="K15" i="9" s="1"/>
  <c r="J15" i="8"/>
  <c r="K11" i="8"/>
  <c r="K15" i="8" s="1"/>
  <c r="K11" i="7"/>
  <c r="K15" i="7" s="1"/>
  <c r="J15" i="7"/>
  <c r="I15" i="6"/>
  <c r="J11" i="6"/>
  <c r="K12" i="6" s="1"/>
  <c r="J15" i="5"/>
  <c r="K11" i="5"/>
  <c r="K15" i="5" s="1"/>
  <c r="D18" i="5" s="1"/>
  <c r="P22" i="5" s="1"/>
  <c r="H15" i="4"/>
  <c r="I11" i="4"/>
  <c r="J12" i="4" s="1"/>
  <c r="D18" i="7" l="1"/>
  <c r="P22" i="7" s="1"/>
  <c r="D33" i="9"/>
  <c r="D18" i="9"/>
  <c r="P22" i="9" s="1"/>
  <c r="D18" i="8"/>
  <c r="P22" i="8" s="1"/>
  <c r="K11" i="6"/>
  <c r="K15" i="6" s="1"/>
  <c r="J15" i="6"/>
  <c r="J11" i="4"/>
  <c r="K12" i="4" s="1"/>
  <c r="I15" i="4"/>
  <c r="D18" i="6" l="1"/>
  <c r="P22" i="6" s="1"/>
  <c r="K11" i="4"/>
  <c r="K15" i="4" s="1"/>
  <c r="J15" i="4"/>
  <c r="D18" i="4" l="1"/>
  <c r="P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Jooyafar</author>
  </authors>
  <commentList>
    <comment ref="M5" authorId="0" shapeId="0" xr:uid="{4AB203AA-4628-42C5-916B-D2223D6F6A2D}">
      <text>
        <r>
          <rPr>
            <b/>
            <sz val="9"/>
            <color indexed="81"/>
            <rFont val="Tahoma"/>
            <family val="2"/>
          </rPr>
          <t>Ali Jooyafar: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فایل اصلی مراکز کاری</t>
        </r>
      </text>
    </comment>
    <comment ref="D13" authorId="0" shapeId="0" xr:uid="{E235C838-B4A0-4212-9EA8-FEAB6C62105E}">
      <text>
        <r>
          <rPr>
            <b/>
            <sz val="9"/>
            <color indexed="81"/>
            <rFont val="Tahoma"/>
            <family val="2"/>
          </rPr>
          <t>Ali Jooyafar:</t>
        </r>
        <r>
          <rPr>
            <sz val="9"/>
            <color indexed="81"/>
            <rFont val="Tahoma"/>
            <family val="2"/>
          </rPr>
          <t xml:space="preserve">
BOM
</t>
        </r>
        <r>
          <rPr>
            <sz val="11"/>
            <color indexed="81"/>
            <rFont val="Tahoma"/>
            <family val="2"/>
          </rPr>
          <t>ساختار شکست جدولی</t>
        </r>
      </text>
    </comment>
    <comment ref="C38" authorId="0" shapeId="0" xr:uid="{93950301-401B-4951-B712-48A1895CFE00}">
      <text>
        <r>
          <rPr>
            <b/>
            <sz val="9"/>
            <color indexed="81"/>
            <rFont val="Tahoma"/>
            <family val="2"/>
          </rPr>
          <t>Ali Jooyafar: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وضعيت کاري قطعه اصلي</t>
        </r>
      </text>
    </comment>
    <comment ref="C42" authorId="0" shapeId="0" xr:uid="{273156F1-36BC-4C66-883A-8CCA9C037F88}">
      <text>
        <r>
          <rPr>
            <b/>
            <sz val="11"/>
            <color indexed="81"/>
            <rFont val="Tahoma"/>
            <family val="2"/>
          </rPr>
          <t>Ali Jooyafar:</t>
        </r>
        <r>
          <rPr>
            <sz val="11"/>
            <color indexed="81"/>
            <rFont val="Tahoma"/>
            <family val="2"/>
          </rPr>
          <t xml:space="preserve">
RCCP</t>
        </r>
      </text>
    </comment>
  </commentList>
</comments>
</file>

<file path=xl/sharedStrings.xml><?xml version="1.0" encoding="utf-8"?>
<sst xmlns="http://schemas.openxmlformats.org/spreadsheetml/2006/main" count="428" uniqueCount="77">
  <si>
    <t>مرکز کاری</t>
  </si>
  <si>
    <t>ظرفیت هفتگی</t>
  </si>
  <si>
    <t>کاربری</t>
  </si>
  <si>
    <t>کارایی</t>
  </si>
  <si>
    <t>vulcan10</t>
  </si>
  <si>
    <t>POH</t>
  </si>
  <si>
    <t>هفته</t>
  </si>
  <si>
    <t>L1</t>
  </si>
  <si>
    <t>L2</t>
  </si>
  <si>
    <t>از آنجایی که در فاز قبل بهترین برنامه، برنامه سولوور شناخته شد و از لحاظ هزینه بهینه و هم چنین شدنی بود معیار 
انتخاب اعداد این فاز آن برنامه در نظر گرفته میشود</t>
  </si>
  <si>
    <t>هزینه نگهداری</t>
  </si>
  <si>
    <t>هزینه کمبود</t>
  </si>
  <si>
    <t>هزینه سفارش دهی</t>
  </si>
  <si>
    <t>هزینه
نگهداری
و کمبود</t>
  </si>
  <si>
    <t>درب( A)</t>
  </si>
  <si>
    <t>قاب بدنه(B)</t>
  </si>
  <si>
    <t>ولوم چرخشی(C)</t>
  </si>
  <si>
    <t>المنت(D)</t>
  </si>
  <si>
    <t>شیشه(A1)</t>
  </si>
  <si>
    <t>دستگیره(A2)</t>
  </si>
  <si>
    <t>محصول</t>
  </si>
  <si>
    <t>A</t>
  </si>
  <si>
    <t>A1</t>
  </si>
  <si>
    <t>A2</t>
  </si>
  <si>
    <t>B</t>
  </si>
  <si>
    <t>C</t>
  </si>
  <si>
    <t>D</t>
  </si>
  <si>
    <t>ضریب مصرف</t>
  </si>
  <si>
    <t>موعد تحویل</t>
  </si>
  <si>
    <t>موجودی اولیه</t>
  </si>
  <si>
    <t>-</t>
  </si>
  <si>
    <t>برگه مسیر تولید قطعات</t>
  </si>
  <si>
    <t>قطعه</t>
  </si>
  <si>
    <t>زمان راه اندازی</t>
  </si>
  <si>
    <t>زمان فرایند (min)</t>
  </si>
  <si>
    <t>LFL</t>
  </si>
  <si>
    <t>دوره</t>
  </si>
  <si>
    <t>GR</t>
  </si>
  <si>
    <t>SR</t>
  </si>
  <si>
    <t>NR</t>
  </si>
  <si>
    <t>PR</t>
  </si>
  <si>
    <t>POR</t>
  </si>
  <si>
    <t xml:space="preserve">هزینه نگهداری </t>
  </si>
  <si>
    <t>موعد تحویل:1</t>
  </si>
  <si>
    <t>تعداد سفارش دهی</t>
  </si>
  <si>
    <t>هزینه کل</t>
  </si>
  <si>
    <t>هزینه 
سفارش دهی</t>
  </si>
  <si>
    <t>موعد تحویل:2</t>
  </si>
  <si>
    <t>موعد تحویل:3</t>
  </si>
  <si>
    <t>سفارش 
ثابت</t>
  </si>
  <si>
    <t>سفارشات 2100 تایی</t>
  </si>
  <si>
    <t>روش بهینه</t>
  </si>
  <si>
    <t>سفارشات1500 تایی</t>
  </si>
  <si>
    <t>سقارشات 1500 تایی</t>
  </si>
  <si>
    <t>سفارش ثابت</t>
  </si>
  <si>
    <t>سفارشات ثابت</t>
  </si>
  <si>
    <t>سفارشات 1500</t>
  </si>
  <si>
    <t>سفارشات 2500تایی</t>
  </si>
  <si>
    <t>سفارشات 2500 تایی</t>
  </si>
  <si>
    <t>سفارشات
ثابت</t>
  </si>
  <si>
    <t>سفارشات 3000 تایی</t>
  </si>
  <si>
    <t>DP</t>
  </si>
  <si>
    <t>POR Summary - Pieces Orders</t>
  </si>
  <si>
    <t>کل</t>
  </si>
  <si>
    <t>code</t>
  </si>
  <si>
    <r>
      <t xml:space="preserve">Work Center </t>
    </r>
    <r>
      <rPr>
        <b/>
        <i/>
        <sz val="14"/>
        <color theme="0"/>
        <rFont val="Arial"/>
        <family val="2"/>
        <scheme val="minor"/>
      </rPr>
      <t>Static</t>
    </r>
    <r>
      <rPr>
        <i/>
        <sz val="14"/>
        <color theme="0"/>
        <rFont val="Arial"/>
        <family val="2"/>
        <scheme val="minor"/>
      </rPr>
      <t xml:space="preserve"> Time Used Capacity</t>
    </r>
  </si>
  <si>
    <r>
      <t xml:space="preserve">Work Center </t>
    </r>
    <r>
      <rPr>
        <b/>
        <i/>
        <sz val="14"/>
        <color theme="0"/>
        <rFont val="Arial"/>
        <family val="2"/>
        <scheme val="minor"/>
      </rPr>
      <t>Dynamic</t>
    </r>
    <r>
      <rPr>
        <i/>
        <sz val="14"/>
        <color theme="0"/>
        <rFont val="Arial"/>
        <family val="2"/>
        <scheme val="minor"/>
      </rPr>
      <t xml:space="preserve"> Time Used Capacity</t>
    </r>
  </si>
  <si>
    <r>
      <t xml:space="preserve">Work Center </t>
    </r>
    <r>
      <rPr>
        <b/>
        <i/>
        <sz val="14"/>
        <color theme="0"/>
        <rFont val="Arial"/>
        <family val="2"/>
        <scheme val="minor"/>
      </rPr>
      <t>Total</t>
    </r>
    <r>
      <rPr>
        <i/>
        <sz val="14"/>
        <color theme="0"/>
        <rFont val="Arial"/>
        <family val="2"/>
        <scheme val="minor"/>
      </rPr>
      <t xml:space="preserve"> Time Used Capacity</t>
    </r>
  </si>
  <si>
    <t>مرکز کاري</t>
  </si>
  <si>
    <r>
      <t xml:space="preserve">SR Orders </t>
    </r>
    <r>
      <rPr>
        <b/>
        <i/>
        <sz val="14"/>
        <color theme="0"/>
        <rFont val="Arial"/>
        <family val="2"/>
        <scheme val="minor"/>
      </rPr>
      <t>Total</t>
    </r>
    <r>
      <rPr>
        <i/>
        <sz val="14"/>
        <color theme="0"/>
        <rFont val="Arial"/>
        <family val="2"/>
        <scheme val="minor"/>
      </rPr>
      <t xml:space="preserve"> Time Used Capacity</t>
    </r>
  </si>
  <si>
    <r>
      <t xml:space="preserve">Work Center + SR Orders </t>
    </r>
    <r>
      <rPr>
        <b/>
        <i/>
        <sz val="14"/>
        <color theme="0"/>
        <rFont val="Arial"/>
        <family val="2"/>
        <scheme val="minor"/>
      </rPr>
      <t>Total</t>
    </r>
    <r>
      <rPr>
        <i/>
        <sz val="14"/>
        <color theme="0"/>
        <rFont val="Arial"/>
        <family val="2"/>
        <scheme val="minor"/>
      </rPr>
      <t xml:space="preserve"> Time Used Capacity</t>
    </r>
  </si>
  <si>
    <t>از فاز 3</t>
  </si>
  <si>
    <t>اندازه سفارش</t>
  </si>
  <si>
    <t>زمان کل</t>
  </si>
  <si>
    <t>زمان اندازۀ سفارش</t>
  </si>
  <si>
    <t>زمان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</si>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</sst>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8"/>
      <name val="Arial"/>
      <family val="2"/>
      <scheme val="minor"/>
    </font>
    <font>
      <sz val="12"/>
      <color theme="1"/>
      <name val="B Nazanin"/>
      <charset val="178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i/>
      <sz val="14"/>
      <color theme="0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/>
      <name val="B Nazanin"/>
      <charset val="178"/>
    </font>
    <font>
      <b/>
      <sz val="12"/>
      <color theme="0"/>
      <name val="Arial"/>
      <family val="2"/>
      <scheme val="minor"/>
    </font>
    <font>
      <sz val="12"/>
      <color indexed="81"/>
      <name val="Tahoma"/>
      <family val="2"/>
    </font>
    <font>
      <b/>
      <sz val="11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8" tint="-0.25098422193060094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129">
    <xf numFmtId="0" fontId="0" fillId="0" borderId="0" xfId="0"/>
    <xf numFmtId="0" fontId="0" fillId="7" borderId="0" xfId="0" applyFill="1"/>
    <xf numFmtId="0" fontId="3" fillId="11" borderId="3" xfId="2" applyFont="1" applyFill="1" applyBorder="1" applyAlignment="1">
      <alignment horizontal="center" vertical="center"/>
    </xf>
    <xf numFmtId="0" fontId="3" fillId="11" borderId="3" xfId="2" applyFont="1" applyFill="1" applyBorder="1"/>
    <xf numFmtId="0" fontId="3" fillId="12" borderId="3" xfId="2" applyFont="1" applyFill="1" applyBorder="1" applyAlignment="1">
      <alignment horizontal="center" vertical="center"/>
    </xf>
    <xf numFmtId="0" fontId="3" fillId="3" borderId="3" xfId="2" applyFont="1" applyBorder="1" applyAlignment="1">
      <alignment horizontal="center"/>
    </xf>
    <xf numFmtId="0" fontId="3" fillId="11" borderId="3" xfId="2" applyFont="1" applyFill="1" applyBorder="1" applyAlignment="1">
      <alignment horizontal="right"/>
    </xf>
    <xf numFmtId="0" fontId="3" fillId="11" borderId="3" xfId="2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4" fillId="2" borderId="1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4" fillId="2" borderId="1" xfId="1" applyFont="1" applyAlignment="1">
      <alignment horizontal="center" vertical="center" wrapText="1"/>
    </xf>
    <xf numFmtId="0" fontId="0" fillId="0" borderId="0" xfId="0"/>
    <xf numFmtId="0" fontId="0" fillId="14" borderId="3" xfId="0" applyFill="1" applyBorder="1"/>
    <xf numFmtId="0" fontId="0" fillId="17" borderId="0" xfId="0" applyFill="1"/>
    <xf numFmtId="0" fontId="3" fillId="12" borderId="3" xfId="2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164" fontId="4" fillId="19" borderId="3" xfId="3" applyNumberFormat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4" borderId="3" xfId="0" applyFill="1" applyBorder="1" applyAlignment="1">
      <alignment horizontal="center"/>
    </xf>
    <xf numFmtId="0" fontId="0" fillId="19" borderId="3" xfId="0" applyFill="1" applyBorder="1" applyAlignment="1">
      <alignment horizontal="center" vertical="center"/>
    </xf>
    <xf numFmtId="0" fontId="3" fillId="14" borderId="3" xfId="0" applyFont="1" applyFill="1" applyBorder="1"/>
    <xf numFmtId="0" fontId="3" fillId="0" borderId="0" xfId="0" applyFont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0" fillId="7" borderId="3" xfId="0" applyFill="1" applyBorder="1"/>
    <xf numFmtId="0" fontId="0" fillId="7" borderId="0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1" fillId="7" borderId="0" xfId="0" applyFont="1" applyFill="1"/>
    <xf numFmtId="2" fontId="3" fillId="7" borderId="3" xfId="0" applyNumberFormat="1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8" fillId="24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right" vertical="center"/>
    </xf>
    <xf numFmtId="1" fontId="8" fillId="12" borderId="3" xfId="0" applyNumberFormat="1" applyFont="1" applyFill="1" applyBorder="1" applyAlignment="1">
      <alignment horizontal="center" vertical="center"/>
    </xf>
    <xf numFmtId="1" fontId="4" fillId="11" borderId="3" xfId="0" applyNumberFormat="1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right" vertical="center"/>
    </xf>
    <xf numFmtId="1" fontId="10" fillId="22" borderId="0" xfId="0" applyNumberFormat="1" applyFont="1" applyFill="1" applyBorder="1" applyAlignment="1">
      <alignment vertical="center"/>
    </xf>
    <xf numFmtId="0" fontId="17" fillId="12" borderId="3" xfId="0" applyFont="1" applyFill="1" applyBorder="1" applyAlignment="1">
      <alignment horizontal="center" vertical="center"/>
    </xf>
    <xf numFmtId="1" fontId="0" fillId="7" borderId="0" xfId="0" applyNumberFormat="1" applyFill="1"/>
    <xf numFmtId="0" fontId="8" fillId="12" borderId="0" xfId="0" applyFont="1" applyFill="1"/>
    <xf numFmtId="2" fontId="18" fillId="12" borderId="0" xfId="0" applyNumberFormat="1" applyFont="1" applyFill="1"/>
    <xf numFmtId="0" fontId="8" fillId="25" borderId="0" xfId="0" applyFont="1" applyFill="1"/>
    <xf numFmtId="2" fontId="18" fillId="25" borderId="0" xfId="0" applyNumberFormat="1" applyFont="1" applyFill="1"/>
    <xf numFmtId="0" fontId="3" fillId="7" borderId="3" xfId="0" applyFont="1" applyFill="1" applyBorder="1" applyAlignment="1">
      <alignment horizontal="center"/>
    </xf>
    <xf numFmtId="164" fontId="3" fillId="7" borderId="3" xfId="3" applyNumberFormat="1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164" fontId="8" fillId="2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3" fillId="12" borderId="7" xfId="2" applyFont="1" applyFill="1" applyBorder="1" applyAlignment="1">
      <alignment horizontal="center" vertical="center"/>
    </xf>
    <xf numFmtId="0" fontId="3" fillId="12" borderId="8" xfId="2" applyFont="1" applyFill="1" applyBorder="1" applyAlignment="1">
      <alignment horizontal="center" vertical="center"/>
    </xf>
    <xf numFmtId="0" fontId="3" fillId="11" borderId="7" xfId="2" applyFont="1" applyFill="1" applyBorder="1" applyAlignment="1">
      <alignment horizontal="right" vertical="center"/>
    </xf>
    <xf numFmtId="0" fontId="3" fillId="11" borderId="8" xfId="2" applyFont="1" applyFill="1" applyBorder="1" applyAlignment="1">
      <alignment horizontal="right" vertical="center"/>
    </xf>
    <xf numFmtId="0" fontId="3" fillId="11" borderId="3" xfId="2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164" fontId="0" fillId="14" borderId="4" xfId="3" applyNumberFormat="1" applyFont="1" applyFill="1" applyBorder="1" applyAlignment="1">
      <alignment horizontal="right" vertical="center"/>
    </xf>
    <xf numFmtId="164" fontId="0" fillId="14" borderId="6" xfId="3" applyNumberFormat="1" applyFont="1" applyFill="1" applyBorder="1" applyAlignment="1">
      <alignment horizontal="right" vertical="center"/>
    </xf>
    <xf numFmtId="164" fontId="0" fillId="14" borderId="10" xfId="3" applyNumberFormat="1" applyFont="1" applyFill="1" applyBorder="1" applyAlignment="1">
      <alignment horizontal="right" vertical="center"/>
    </xf>
    <xf numFmtId="164" fontId="9" fillId="21" borderId="4" xfId="3" applyNumberFormat="1" applyFont="1" applyFill="1" applyBorder="1" applyAlignment="1">
      <alignment horizontal="center" vertical="center"/>
    </xf>
    <xf numFmtId="164" fontId="9" fillId="21" borderId="6" xfId="3" applyNumberFormat="1" applyFont="1" applyFill="1" applyBorder="1" applyAlignment="1">
      <alignment horizontal="center" vertical="center"/>
    </xf>
    <xf numFmtId="164" fontId="9" fillId="21" borderId="10" xfId="3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/>
    </xf>
    <xf numFmtId="164" fontId="9" fillId="20" borderId="4" xfId="3" applyNumberFormat="1" applyFont="1" applyFill="1" applyBorder="1" applyAlignment="1">
      <alignment horizontal="center" vertical="center"/>
    </xf>
    <xf numFmtId="164" fontId="9" fillId="20" borderId="6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6" fillId="13" borderId="4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1" fontId="0" fillId="7" borderId="7" xfId="0" applyNumberFormat="1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10" fillId="22" borderId="11" xfId="0" applyNumberFormat="1" applyFont="1" applyFill="1" applyBorder="1" applyAlignment="1">
      <alignment horizontal="center" vertical="center"/>
    </xf>
    <xf numFmtId="1" fontId="10" fillId="22" borderId="12" xfId="0" applyNumberFormat="1" applyFont="1" applyFill="1" applyBorder="1" applyAlignment="1">
      <alignment horizontal="center" vertical="center"/>
    </xf>
    <xf numFmtId="1" fontId="10" fillId="26" borderId="11" xfId="0" applyNumberFormat="1" applyFont="1" applyFill="1" applyBorder="1" applyAlignment="1">
      <alignment horizontal="center" vertical="center"/>
    </xf>
    <xf numFmtId="1" fontId="10" fillId="26" borderId="12" xfId="0" applyNumberFormat="1" applyFont="1" applyFill="1" applyBorder="1" applyAlignment="1">
      <alignment horizontal="center" vertical="center"/>
    </xf>
    <xf numFmtId="1" fontId="10" fillId="23" borderId="11" xfId="0" applyNumberFormat="1" applyFont="1" applyFill="1" applyBorder="1" applyAlignment="1">
      <alignment horizontal="center" vertical="center"/>
    </xf>
    <xf numFmtId="1" fontId="10" fillId="23" borderId="12" xfId="0" applyNumberFormat="1" applyFont="1" applyFill="1" applyBorder="1" applyAlignment="1">
      <alignment horizontal="center" vertical="center"/>
    </xf>
  </cellXfs>
  <cellStyles count="5">
    <cellStyle name="Comma" xfId="3" builtinId="3"/>
    <cellStyle name="Input" xfId="1" builtinId="20"/>
    <cellStyle name="Normal" xfId="0" builtinId="0"/>
    <cellStyle name="Normal 2" xfId="4" xr:uid="{6CFB6BD5-03F9-4A4A-808B-DD0654A8A5C5}"/>
    <cellStyle name="Note" xfId="2" builtinId="1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ATA 2'!A1"/><Relationship Id="rId7" Type="http://schemas.openxmlformats.org/officeDocument/2006/relationships/hyperlink" Target="#'MPS with_Slover'!A1"/><Relationship Id="rId2" Type="http://schemas.openxmlformats.org/officeDocument/2006/relationships/hyperlink" Target="#DATA!A1"/><Relationship Id="rId1" Type="http://schemas.openxmlformats.org/officeDocument/2006/relationships/image" Target="../media/image1.png"/><Relationship Id="rId6" Type="http://schemas.openxmlformats.org/officeDocument/2006/relationships/hyperlink" Target="#'MPS minPOH'!A1"/><Relationship Id="rId5" Type="http://schemas.openxmlformats.org/officeDocument/2006/relationships/hyperlink" Target="#'MPS minCO'!A1"/><Relationship Id="rId4" Type="http://schemas.openxmlformats.org/officeDocument/2006/relationships/hyperlink" Target="#'MPS incubme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2</xdr:row>
      <xdr:rowOff>28575</xdr:rowOff>
    </xdr:from>
    <xdr:to>
      <xdr:col>7</xdr:col>
      <xdr:colOff>76200</xdr:colOff>
      <xdr:row>21</xdr:row>
      <xdr:rowOff>170178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9F703-372A-4A54-8212-BC401AD27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8F9FA"/>
            </a:clrFrom>
            <a:clrTo>
              <a:srgbClr val="F8F9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82" r="30882"/>
        <a:stretch/>
      </xdr:blipFill>
      <xdr:spPr>
        <a:xfrm>
          <a:off x="9827285400" y="409575"/>
          <a:ext cx="4019551" cy="3761103"/>
        </a:xfrm>
        <a:prstGeom prst="rect">
          <a:avLst/>
        </a:prstGeom>
      </xdr:spPr>
    </xdr:pic>
    <xdr:clientData/>
  </xdr:twoCellAnchor>
  <xdr:twoCellAnchor>
    <xdr:from>
      <xdr:col>8</xdr:col>
      <xdr:colOff>28576</xdr:colOff>
      <xdr:row>5</xdr:row>
      <xdr:rowOff>152400</xdr:rowOff>
    </xdr:from>
    <xdr:to>
      <xdr:col>15</xdr:col>
      <xdr:colOff>1</xdr:colOff>
      <xdr:row>14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2F90C-CF08-4F8F-9406-627106F16583}"/>
            </a:ext>
          </a:extLst>
        </xdr:cNvPr>
        <xdr:cNvSpPr txBox="1"/>
      </xdr:nvSpPr>
      <xdr:spPr>
        <a:xfrm flipH="1">
          <a:off x="9822627674" y="1104900"/>
          <a:ext cx="4171950" cy="168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2400">
              <a:solidFill>
                <a:schemeClr val="accent6">
                  <a:lumMod val="75000"/>
                </a:schemeClr>
              </a:solidFill>
            </a:rPr>
            <a:t>برنامه‌ریزی</a:t>
          </a:r>
          <a:r>
            <a:rPr lang="fa-IR" sz="2400" baseline="0">
              <a:solidFill>
                <a:schemeClr val="accent6">
                  <a:lumMod val="75000"/>
                </a:schemeClr>
              </a:solidFill>
            </a:rPr>
            <a:t> تولید </a:t>
          </a:r>
          <a:r>
            <a:rPr lang="en-US" sz="2400" baseline="0">
              <a:solidFill>
                <a:schemeClr val="accent6">
                  <a:lumMod val="75000"/>
                </a:schemeClr>
              </a:solidFill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3992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2400">
            <a:solidFill>
              <a:schemeClr val="accent6">
                <a:lumMod val="75000"/>
              </a:schemeClr>
            </a:solidFill>
          </a:endParaRPr>
        </a:p>
        <a:p>
          <a:pPr algn="r" rtl="1"/>
          <a:r>
            <a:rPr lang="en-US" sz="2400">
              <a:solidFill>
                <a:schemeClr val="accent6">
                  <a:lumMod val="75000"/>
                </a:schemeClr>
              </a:solidFill>
            </a:rPr>
            <a:t>MRP-------</a:t>
          </a:r>
        </a:p>
        <a:p>
          <a:pPr algn="r" rtl="1"/>
          <a:r>
            <a:rPr lang="fa-IR" sz="1400" b="0" baseline="0">
              <a:solidFill>
                <a:sysClr val="windowText" lastClr="000000"/>
              </a:solidFill>
            </a:rPr>
            <a:t>میلاد مالکی، علی جویافر</a:t>
          </a:r>
          <a:endParaRPr lang="fa-IR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95249</xdr:colOff>
      <xdr:row>15</xdr:row>
      <xdr:rowOff>77787</xdr:rowOff>
    </xdr:from>
    <xdr:to>
      <xdr:col>11</xdr:col>
      <xdr:colOff>228601</xdr:colOff>
      <xdr:row>17</xdr:row>
      <xdr:rowOff>49212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E1A3493-4D3C-4061-A2BE-FDE270A29075}"/>
            </a:ext>
          </a:extLst>
        </xdr:cNvPr>
        <xdr:cNvSpPr/>
      </xdr:nvSpPr>
      <xdr:spPr>
        <a:xfrm flipH="1">
          <a:off x="9980752199" y="2935287"/>
          <a:ext cx="1962152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en-US" sz="1100" baseline="0"/>
            <a:t>DATA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 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 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 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endParaRPr lang="fa-IR" sz="1100" baseline="0"/>
        </a:p>
      </xdr:txBody>
    </xdr:sp>
    <xdr:clientData/>
  </xdr:twoCellAnchor>
  <xdr:twoCellAnchor>
    <xdr:from>
      <xdr:col>11</xdr:col>
      <xdr:colOff>296116</xdr:colOff>
      <xdr:row>15</xdr:row>
      <xdr:rowOff>123828</xdr:rowOff>
    </xdr:from>
    <xdr:to>
      <xdr:col>11</xdr:col>
      <xdr:colOff>443753</xdr:colOff>
      <xdr:row>17</xdr:row>
      <xdr:rowOff>23815</xdr:rowOff>
    </xdr:to>
    <xdr:sp macro="" textlink="">
      <xdr:nvSpPr>
        <xdr:cNvPr id="5" name="Isosceles Tri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644F40-08EC-4207-9FCA-CADB3F2F9856}"/>
            </a:ext>
          </a:extLst>
        </xdr:cNvPr>
        <xdr:cNvSpPr/>
      </xdr:nvSpPr>
      <xdr:spPr>
        <a:xfrm rot="16200000">
          <a:off x="9824517547" y="3048003"/>
          <a:ext cx="280987" cy="147637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8</xdr:col>
      <xdr:colOff>95249</xdr:colOff>
      <xdr:row>17</xdr:row>
      <xdr:rowOff>82911</xdr:rowOff>
    </xdr:from>
    <xdr:to>
      <xdr:col>11</xdr:col>
      <xdr:colOff>228601</xdr:colOff>
      <xdr:row>19</xdr:row>
      <xdr:rowOff>54336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F156F00-350C-4BA6-B3C0-DEC837B834ED}"/>
            </a:ext>
          </a:extLst>
        </xdr:cNvPr>
        <xdr:cNvSpPr/>
      </xdr:nvSpPr>
      <xdr:spPr>
        <a:xfrm flipH="1">
          <a:off x="9824799374" y="3321411"/>
          <a:ext cx="1933577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en-US" sz="1100"/>
            <a:t>MRP Vulcan10</a:t>
          </a:r>
          <a:endParaRPr lang="fa-IR" sz="1100" baseline="0"/>
        </a:p>
      </xdr:txBody>
    </xdr:sp>
    <xdr:clientData/>
  </xdr:twoCellAnchor>
  <xdr:twoCellAnchor>
    <xdr:from>
      <xdr:col>8</xdr:col>
      <xdr:colOff>95249</xdr:colOff>
      <xdr:row>19</xdr:row>
      <xdr:rowOff>88035</xdr:rowOff>
    </xdr:from>
    <xdr:to>
      <xdr:col>11</xdr:col>
      <xdr:colOff>228601</xdr:colOff>
      <xdr:row>21</xdr:row>
      <xdr:rowOff>59460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EE61BE9-A052-4B0E-A28C-5A1AC6DF3C6C}"/>
            </a:ext>
          </a:extLst>
        </xdr:cNvPr>
        <xdr:cNvSpPr/>
      </xdr:nvSpPr>
      <xdr:spPr>
        <a:xfrm flipH="1">
          <a:off x="9824799374" y="3707535"/>
          <a:ext cx="1933577" cy="35242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en-US" sz="1100"/>
            <a:t>MRP A</a:t>
          </a:r>
          <a:endParaRPr lang="fa-IR" sz="1100" baseline="0"/>
        </a:p>
      </xdr:txBody>
    </xdr:sp>
    <xdr:clientData/>
  </xdr:twoCellAnchor>
  <xdr:twoCellAnchor>
    <xdr:from>
      <xdr:col>8</xdr:col>
      <xdr:colOff>95249</xdr:colOff>
      <xdr:row>21</xdr:row>
      <xdr:rowOff>93159</xdr:rowOff>
    </xdr:from>
    <xdr:to>
      <xdr:col>11</xdr:col>
      <xdr:colOff>228601</xdr:colOff>
      <xdr:row>23</xdr:row>
      <xdr:rowOff>64583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DCF817A4-3250-48F6-9287-B0F20784654A}"/>
            </a:ext>
          </a:extLst>
        </xdr:cNvPr>
        <xdr:cNvSpPr/>
      </xdr:nvSpPr>
      <xdr:spPr>
        <a:xfrm flipH="1">
          <a:off x="9824799374" y="4093659"/>
          <a:ext cx="1933577" cy="352424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MRP A1</a:t>
          </a:r>
          <a:endParaRPr lang="fa-IR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95249</xdr:colOff>
      <xdr:row>23</xdr:row>
      <xdr:rowOff>98282</xdr:rowOff>
    </xdr:from>
    <xdr:to>
      <xdr:col>11</xdr:col>
      <xdr:colOff>228601</xdr:colOff>
      <xdr:row>25</xdr:row>
      <xdr:rowOff>69707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6B5CBF4F-9E3C-4765-9BFB-F1C474F0C44D}"/>
            </a:ext>
          </a:extLst>
        </xdr:cNvPr>
        <xdr:cNvSpPr/>
      </xdr:nvSpPr>
      <xdr:spPr>
        <a:xfrm flipH="1">
          <a:off x="9824799374" y="4479782"/>
          <a:ext cx="1933577" cy="35242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>
              <a:effectLst/>
            </a:rPr>
            <a:t>MRP A2</a:t>
          </a:r>
          <a:endParaRPr lang="fa-IR">
            <a:effectLst/>
          </a:endParaRPr>
        </a:p>
      </xdr:txBody>
    </xdr:sp>
    <xdr:clientData/>
  </xdr:twoCellAnchor>
  <xdr:twoCellAnchor>
    <xdr:from>
      <xdr:col>8</xdr:col>
      <xdr:colOff>95249</xdr:colOff>
      <xdr:row>25</xdr:row>
      <xdr:rowOff>103406</xdr:rowOff>
    </xdr:from>
    <xdr:to>
      <xdr:col>11</xdr:col>
      <xdr:colOff>228601</xdr:colOff>
      <xdr:row>27</xdr:row>
      <xdr:rowOff>74831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18D18FA-1DE7-40CF-AD3B-B60F6F4B72EE}"/>
            </a:ext>
          </a:extLst>
        </xdr:cNvPr>
        <xdr:cNvSpPr/>
      </xdr:nvSpPr>
      <xdr:spPr>
        <a:xfrm flipH="1">
          <a:off x="9824799374" y="4865906"/>
          <a:ext cx="1933577" cy="35242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>
              <a:effectLst/>
            </a:rPr>
            <a:t>MRP B</a:t>
          </a:r>
          <a:endParaRPr lang="fa-IR">
            <a:effectLst/>
          </a:endParaRPr>
        </a:p>
      </xdr:txBody>
    </xdr:sp>
    <xdr:clientData/>
  </xdr:twoCellAnchor>
  <xdr:twoCellAnchor>
    <xdr:from>
      <xdr:col>11</xdr:col>
      <xdr:colOff>296116</xdr:colOff>
      <xdr:row>17</xdr:row>
      <xdr:rowOff>127350</xdr:rowOff>
    </xdr:from>
    <xdr:to>
      <xdr:col>11</xdr:col>
      <xdr:colOff>443753</xdr:colOff>
      <xdr:row>19</xdr:row>
      <xdr:rowOff>27337</xdr:rowOff>
    </xdr:to>
    <xdr:sp macro="" textlink="">
      <xdr:nvSpPr>
        <xdr:cNvPr id="12" name="Isosceles Tri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A2C4C0-DA5C-428F-B5AA-1C6CEB488D22}"/>
            </a:ext>
          </a:extLst>
        </xdr:cNvPr>
        <xdr:cNvSpPr/>
      </xdr:nvSpPr>
      <xdr:spPr>
        <a:xfrm rot="16200000">
          <a:off x="9824517547" y="3432525"/>
          <a:ext cx="280987" cy="147637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11</xdr:col>
      <xdr:colOff>296116</xdr:colOff>
      <xdr:row>19</xdr:row>
      <xdr:rowOff>130872</xdr:rowOff>
    </xdr:from>
    <xdr:to>
      <xdr:col>11</xdr:col>
      <xdr:colOff>443753</xdr:colOff>
      <xdr:row>21</xdr:row>
      <xdr:rowOff>30859</xdr:rowOff>
    </xdr:to>
    <xdr:sp macro="" textlink="">
      <xdr:nvSpPr>
        <xdr:cNvPr id="13" name="Isosceles Tri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6FEC09-F331-4359-8E18-27DBEF733092}"/>
            </a:ext>
          </a:extLst>
        </xdr:cNvPr>
        <xdr:cNvSpPr/>
      </xdr:nvSpPr>
      <xdr:spPr>
        <a:xfrm rot="16200000">
          <a:off x="9824517547" y="3817047"/>
          <a:ext cx="280987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11</xdr:col>
      <xdr:colOff>296116</xdr:colOff>
      <xdr:row>21</xdr:row>
      <xdr:rowOff>134394</xdr:rowOff>
    </xdr:from>
    <xdr:to>
      <xdr:col>11</xdr:col>
      <xdr:colOff>443753</xdr:colOff>
      <xdr:row>23</xdr:row>
      <xdr:rowOff>34380</xdr:rowOff>
    </xdr:to>
    <xdr:sp macro="" textlink="">
      <xdr:nvSpPr>
        <xdr:cNvPr id="14" name="Isosceles Tri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0972A0-17B6-41E0-841C-B4C05FE095E7}"/>
            </a:ext>
          </a:extLst>
        </xdr:cNvPr>
        <xdr:cNvSpPr/>
      </xdr:nvSpPr>
      <xdr:spPr>
        <a:xfrm rot="16200000">
          <a:off x="9824517548" y="4201568"/>
          <a:ext cx="280986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11</xdr:col>
      <xdr:colOff>296116</xdr:colOff>
      <xdr:row>23</xdr:row>
      <xdr:rowOff>137915</xdr:rowOff>
    </xdr:from>
    <xdr:to>
      <xdr:col>11</xdr:col>
      <xdr:colOff>443753</xdr:colOff>
      <xdr:row>25</xdr:row>
      <xdr:rowOff>37902</xdr:rowOff>
    </xdr:to>
    <xdr:sp macro="" textlink="">
      <xdr:nvSpPr>
        <xdr:cNvPr id="15" name="Isosceles Triangl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EF2A6A-E180-48C0-8D6A-2ABE1CAFAD5F}"/>
            </a:ext>
          </a:extLst>
        </xdr:cNvPr>
        <xdr:cNvSpPr/>
      </xdr:nvSpPr>
      <xdr:spPr>
        <a:xfrm rot="16200000">
          <a:off x="9824517547" y="4586090"/>
          <a:ext cx="280987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11</xdr:col>
      <xdr:colOff>296116</xdr:colOff>
      <xdr:row>25</xdr:row>
      <xdr:rowOff>141437</xdr:rowOff>
    </xdr:from>
    <xdr:to>
      <xdr:col>11</xdr:col>
      <xdr:colOff>443753</xdr:colOff>
      <xdr:row>27</xdr:row>
      <xdr:rowOff>41424</xdr:rowOff>
    </xdr:to>
    <xdr:sp macro="" textlink="">
      <xdr:nvSpPr>
        <xdr:cNvPr id="16" name="Isosceles Triangl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39D6A1-FD10-4154-ADDD-2617886C5CD8}"/>
            </a:ext>
          </a:extLst>
        </xdr:cNvPr>
        <xdr:cNvSpPr/>
      </xdr:nvSpPr>
      <xdr:spPr>
        <a:xfrm rot="16200000">
          <a:off x="9824517547" y="4970612"/>
          <a:ext cx="280987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8</xdr:col>
      <xdr:colOff>95249</xdr:colOff>
      <xdr:row>27</xdr:row>
      <xdr:rowOff>122456</xdr:rowOff>
    </xdr:from>
    <xdr:to>
      <xdr:col>11</xdr:col>
      <xdr:colOff>228601</xdr:colOff>
      <xdr:row>29</xdr:row>
      <xdr:rowOff>93881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486B70C1-CD3E-4C3C-8CAC-D783BED80AD8}"/>
            </a:ext>
          </a:extLst>
        </xdr:cNvPr>
        <xdr:cNvSpPr/>
      </xdr:nvSpPr>
      <xdr:spPr>
        <a:xfrm flipH="1">
          <a:off x="9980752199" y="5265956"/>
          <a:ext cx="1962152" cy="35242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>
              <a:effectLst/>
            </a:rPr>
            <a:t>MRP C</a:t>
          </a:r>
          <a:endParaRPr lang="fa-IR">
            <a:effectLst/>
          </a:endParaRPr>
        </a:p>
      </xdr:txBody>
    </xdr:sp>
    <xdr:clientData/>
  </xdr:twoCellAnchor>
  <xdr:twoCellAnchor>
    <xdr:from>
      <xdr:col>8</xdr:col>
      <xdr:colOff>104774</xdr:colOff>
      <xdr:row>29</xdr:row>
      <xdr:rowOff>141506</xdr:rowOff>
    </xdr:from>
    <xdr:to>
      <xdr:col>11</xdr:col>
      <xdr:colOff>238126</xdr:colOff>
      <xdr:row>31</xdr:row>
      <xdr:rowOff>112931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3599C53B-206B-4F48-8A70-30F5F3812B41}"/>
            </a:ext>
          </a:extLst>
        </xdr:cNvPr>
        <xdr:cNvSpPr/>
      </xdr:nvSpPr>
      <xdr:spPr>
        <a:xfrm flipH="1">
          <a:off x="9980742674" y="5666006"/>
          <a:ext cx="1962152" cy="35242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>
              <a:effectLst/>
            </a:rPr>
            <a:t>MRP D</a:t>
          </a:r>
          <a:endParaRPr lang="fa-IR">
            <a:effectLst/>
          </a:endParaRPr>
        </a:p>
      </xdr:txBody>
    </xdr:sp>
    <xdr:clientData/>
  </xdr:twoCellAnchor>
  <xdr:twoCellAnchor>
    <xdr:from>
      <xdr:col>11</xdr:col>
      <xdr:colOff>296116</xdr:colOff>
      <xdr:row>27</xdr:row>
      <xdr:rowOff>160487</xdr:rowOff>
    </xdr:from>
    <xdr:to>
      <xdr:col>11</xdr:col>
      <xdr:colOff>443753</xdr:colOff>
      <xdr:row>29</xdr:row>
      <xdr:rowOff>60474</xdr:rowOff>
    </xdr:to>
    <xdr:sp macro="" textlink="">
      <xdr:nvSpPr>
        <xdr:cNvPr id="21" name="Isosceles Triangl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56815C5-F423-41DA-B143-1105EE9A6FEA}"/>
            </a:ext>
          </a:extLst>
        </xdr:cNvPr>
        <xdr:cNvSpPr/>
      </xdr:nvSpPr>
      <xdr:spPr>
        <a:xfrm rot="16200000">
          <a:off x="9980470372" y="5370662"/>
          <a:ext cx="280987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  <xdr:twoCellAnchor>
    <xdr:from>
      <xdr:col>11</xdr:col>
      <xdr:colOff>296116</xdr:colOff>
      <xdr:row>29</xdr:row>
      <xdr:rowOff>189062</xdr:rowOff>
    </xdr:from>
    <xdr:to>
      <xdr:col>11</xdr:col>
      <xdr:colOff>443753</xdr:colOff>
      <xdr:row>31</xdr:row>
      <xdr:rowOff>89049</xdr:rowOff>
    </xdr:to>
    <xdr:sp macro="" textlink="">
      <xdr:nvSpPr>
        <xdr:cNvPr id="22" name="Isosceles Triangl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40FAF7-8DEF-496B-AB80-4A13F2938A79}"/>
            </a:ext>
          </a:extLst>
        </xdr:cNvPr>
        <xdr:cNvSpPr/>
      </xdr:nvSpPr>
      <xdr:spPr>
        <a:xfrm rot="16200000">
          <a:off x="9980470372" y="5780237"/>
          <a:ext cx="280987" cy="147637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27</xdr:row>
      <xdr:rowOff>161925</xdr:rowOff>
    </xdr:from>
    <xdr:to>
      <xdr:col>9</xdr:col>
      <xdr:colOff>600075</xdr:colOff>
      <xdr:row>29</xdr:row>
      <xdr:rowOff>19050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E80D093-5930-4BC2-837D-979EA11B845F}"/>
            </a:ext>
          </a:extLst>
        </xdr:cNvPr>
        <xdr:cNvCxnSpPr/>
      </xdr:nvCxnSpPr>
      <xdr:spPr>
        <a:xfrm flipH="1">
          <a:off x="9979771125" y="542925"/>
          <a:ext cx="1200150" cy="2381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27</xdr:row>
      <xdr:rowOff>183931</xdr:rowOff>
    </xdr:from>
    <xdr:to>
      <xdr:col>7</xdr:col>
      <xdr:colOff>571499</xdr:colOff>
      <xdr:row>29</xdr:row>
      <xdr:rowOff>9525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D3896CD-785E-47FD-BA34-6166CDC88E43}"/>
            </a:ext>
          </a:extLst>
        </xdr:cNvPr>
        <xdr:cNvCxnSpPr/>
      </xdr:nvCxnSpPr>
      <xdr:spPr>
        <a:xfrm flipH="1">
          <a:off x="9981018901" y="564931"/>
          <a:ext cx="558361" cy="2065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28</xdr:row>
      <xdr:rowOff>0</xdr:rowOff>
    </xdr:from>
    <xdr:to>
      <xdr:col>5</xdr:col>
      <xdr:colOff>542925</xdr:colOff>
      <xdr:row>28</xdr:row>
      <xdr:rowOff>552450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A235F6FF-2B4C-4D34-9EA3-F97986051AD8}"/>
            </a:ext>
          </a:extLst>
        </xdr:cNvPr>
        <xdr:cNvCxnSpPr/>
      </xdr:nvCxnSpPr>
      <xdr:spPr>
        <a:xfrm>
          <a:off x="9982266675" y="571500"/>
          <a:ext cx="419100" cy="190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27</xdr:row>
      <xdr:rowOff>180975</xdr:rowOff>
    </xdr:from>
    <xdr:to>
      <xdr:col>5</xdr:col>
      <xdr:colOff>19050</xdr:colOff>
      <xdr:row>29</xdr:row>
      <xdr:rowOff>28575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E56123A-1832-4AF3-BDF8-5DFC9F1250A1}"/>
            </a:ext>
          </a:extLst>
        </xdr:cNvPr>
        <xdr:cNvCxnSpPr/>
      </xdr:nvCxnSpPr>
      <xdr:spPr>
        <a:xfrm>
          <a:off x="9982790550" y="561975"/>
          <a:ext cx="1323975" cy="228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534865</xdr:colOff>
      <xdr:row>31</xdr:row>
      <xdr:rowOff>7327</xdr:rowOff>
    </xdr:from>
    <xdr:to>
      <xdr:col>12</xdr:col>
      <xdr:colOff>322384</xdr:colOff>
      <xdr:row>32</xdr:row>
      <xdr:rowOff>14654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D88C0CB-BC88-4125-9401-79E0B87F4EF7}"/>
            </a:ext>
          </a:extLst>
        </xdr:cNvPr>
        <xdr:cNvCxnSpPr/>
      </xdr:nvCxnSpPr>
      <xdr:spPr>
        <a:xfrm flipH="1">
          <a:off x="9978220016" y="1150327"/>
          <a:ext cx="397119" cy="19782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121627</xdr:colOff>
      <xdr:row>31</xdr:row>
      <xdr:rowOff>0</xdr:rowOff>
    </xdr:from>
    <xdr:to>
      <xdr:col>10</xdr:col>
      <xdr:colOff>455002</xdr:colOff>
      <xdr:row>31</xdr:row>
      <xdr:rowOff>180975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BB5B655C-A273-49FE-9FC3-1738937431B1}"/>
            </a:ext>
          </a:extLst>
        </xdr:cNvPr>
        <xdr:cNvCxnSpPr/>
      </xdr:nvCxnSpPr>
      <xdr:spPr>
        <a:xfrm>
          <a:off x="9979306598" y="1143000"/>
          <a:ext cx="333375" cy="1809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589020</xdr:colOff>
      <xdr:row>14</xdr:row>
      <xdr:rowOff>95040</xdr:rowOff>
    </xdr:from>
    <xdr:to>
      <xdr:col>31</xdr:col>
      <xdr:colOff>41385</xdr:colOff>
      <xdr:row>19</xdr:row>
      <xdr:rowOff>158760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652171B2-3877-41DA-B83D-D8A03FDD24F5}"/>
                </a:ext>
              </a:extLst>
            </xdr14:cNvPr>
            <xdr14:cNvContentPartPr/>
          </xdr14:nvContentPartPr>
          <xdr14:nvPr macro=""/>
          <xdr14:xfrm>
            <a:off x="5295791940" y="2838240"/>
            <a:ext cx="2262240" cy="97812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52171B2-3877-41DA-B83D-D8A03FDD24F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95782940" y="2829240"/>
              <a:ext cx="2279880" cy="9957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1T12:29:05.131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855 0,'-15'2,"-1"1,0 0,1 1,0 0,0 1,-24 13,4-4,-27 10,-187 83,223-93,1 2,0 0,1 1,1 2,0 0,2 1,-22 27,16-14,2 1,-40 71,56-88,1 1,1 1,1-1,0 1,2 0,0 0,1 1,-1 31,4 7,9 63,-8-117,0 1,0-1,1 1,0-1,0 0,0 0,0 0,1 0,-1 0,1 0,0-1,0 1,1-1,-1 0,8 5,7 5,1-1,22 10,-4-1,251 142,49 30,-273-152,2-4,2-2,1-3,1-4,2-2,78 17,465 124,-225-55,233 41,923 107,-1274-229,686 50,-685-88,-267 7,0-1,1 0,-1 0,0 0,0-1,9-4,-14 6,-1 0,1-1,0 1,-1 0,1-1,-1 1,1-1,-1 1,1-1,-1 1,1-1,-1 1,1-1,-1 1,1-1,-1 0,0 1,1-1,-1 0,0 1,0-1,0 0,1 1,-1-1,0-1,-1 1,1-1,-1 1,0-1,1 1,-1 0,0-1,0 1,0 0,0 0,0 0,0-1,-1 1,1 0,0 1,-1-1,1 0,-2-1,-17-9,-1 1,-39-14,14 7,-34-14,44 19,0-3,1 0,-48-30,81 44,1 0,0 0,-1 0,1 0,0 0,-1 0,1 0,0 0,0 0,0 0,0-1,0 1,0 0,1-1,-2-2,2 3,0 1,0-1,0 1,0-1,1 1,-1-1,0 1,0-1,1 1,-1-1,0 1,0 0,1-1,-1 1,1-1,-1 1,0 0,1-1,-1 1,1 0,-1 0,1-1,-1 1,1 0,-1 0,1 0,-1 0,1-1,0 1,5-1,0 0,1 1,-1 0,0 0,0 0,10 2,26 8,-1 3,68 30,-67-25,107 53,-94-41,65 23,-97-39,-23-14,0 1,1-1,-1 1,0-1,0 1,0-1,0 0,1 1,-1-1,0 1,0-1,0 1,0-1,0 1,0-1,0 1,-1-1,1 1,0-1,0 1,0-1,0 0,0 1,-1-1,1 1,0-1,0 0,-1 1,0 0,-1 1,0 0,-1 0,0-1,1 1,-1-1,0 1,0-1,0 0,0 0,0 0,0 0,-3 0,-141 12,-3 1,148-13,-42 5,0 3,0 1,-82 32,110-32,0 0,1 1,0 1,0 0,1 0,1 2,-13 16,-9 8,19-22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4DB515-9001-4C2E-938F-1CB48B3E6E8D}" name="Table1" displayName="Table1" ref="M5:P7" totalsRowShown="0" headerRowDxfId="91" dataDxfId="90">
  <autoFilter ref="M5:P7" xr:uid="{893AA41F-CC76-4E46-900D-E15F84953ED0}"/>
  <tableColumns count="4">
    <tableColumn id="1" xr3:uid="{468147F4-14BD-415F-AB66-E930A990EB64}" name="مرکز کاری" dataDxfId="89"/>
    <tableColumn id="2" xr3:uid="{E352F3B4-BB62-4B55-B4BD-D939936573D6}" name="ظرفیت هفتگی" dataDxfId="88"/>
    <tableColumn id="3" xr3:uid="{667EC97D-561A-4BEC-8F6B-FABF4D66BCA5}" name="کاربری" dataDxfId="87"/>
    <tableColumn id="4" xr3:uid="{B90A355C-7052-4C21-8DC2-1EA1DF323798}" name="کارایی" dataDxfId="86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132-AE00-4165-B062-7FB977749393}">
  <dimension ref="A1:BW653"/>
  <sheetViews>
    <sheetView rightToLeft="1" zoomScale="70" zoomScaleNormal="70" workbookViewId="0">
      <selection activeCell="D33" sqref="D33"/>
    </sheetView>
  </sheetViews>
  <sheetFormatPr defaultRowHeight="14.25" x14ac:dyDescent="0.2"/>
  <sheetData>
    <row r="1" spans="1: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pans="1:7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</row>
    <row r="3" spans="1:7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</row>
    <row r="4" spans="1:7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</row>
    <row r="5" spans="1:75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</row>
    <row r="6" spans="1:75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5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</row>
    <row r="213" spans="1:75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</row>
    <row r="214" spans="1:75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</row>
    <row r="215" spans="1:75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</row>
    <row r="216" spans="1:75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</row>
    <row r="217" spans="1:75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</row>
    <row r="218" spans="1:75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</row>
    <row r="219" spans="1:75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</row>
    <row r="220" spans="1:75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</row>
    <row r="221" spans="1:75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</row>
    <row r="222" spans="1:75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</row>
    <row r="223" spans="1:75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</row>
    <row r="224" spans="1:75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</row>
    <row r="225" spans="1:75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</row>
    <row r="226" spans="1:75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</row>
    <row r="227" spans="1:75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</row>
    <row r="228" spans="1:75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</row>
    <row r="229" spans="1:75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</row>
    <row r="230" spans="1:75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</row>
    <row r="231" spans="1:75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</row>
    <row r="232" spans="1:75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</row>
    <row r="233" spans="1:75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</row>
    <row r="234" spans="1:75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</row>
    <row r="235" spans="1:75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</row>
    <row r="236" spans="1:75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</row>
    <row r="237" spans="1:75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</row>
    <row r="238" spans="1:75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</row>
    <row r="239" spans="1:75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</row>
    <row r="240" spans="1:75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</row>
    <row r="241" spans="1:75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</row>
    <row r="242" spans="1:75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</row>
    <row r="243" spans="1:75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</row>
    <row r="244" spans="1:75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</row>
    <row r="245" spans="1:75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</row>
    <row r="246" spans="1:75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</row>
    <row r="247" spans="1:75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</row>
    <row r="248" spans="1:75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</row>
    <row r="249" spans="1:75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</row>
    <row r="250" spans="1:75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</row>
    <row r="251" spans="1:75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</row>
    <row r="252" spans="1:75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</row>
    <row r="253" spans="1:75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</row>
    <row r="254" spans="1:75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</row>
    <row r="255" spans="1:75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</row>
    <row r="256" spans="1:75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</row>
    <row r="257" spans="1:75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</row>
    <row r="258" spans="1:75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</row>
    <row r="259" spans="1:75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</row>
    <row r="260" spans="1:75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</row>
    <row r="261" spans="1:75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</row>
    <row r="262" spans="1:75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</row>
    <row r="263" spans="1:75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</row>
    <row r="264" spans="1:75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</row>
    <row r="265" spans="1:75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</row>
    <row r="266" spans="1:75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</row>
    <row r="267" spans="1:75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</row>
    <row r="268" spans="1:75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</row>
    <row r="269" spans="1:75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</row>
    <row r="270" spans="1:75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</row>
    <row r="271" spans="1:75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</row>
    <row r="272" spans="1:75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</row>
    <row r="273" spans="1:75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</row>
    <row r="274" spans="1:75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</row>
    <row r="275" spans="1:75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</row>
    <row r="276" spans="1:75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</row>
    <row r="277" spans="1:75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</row>
    <row r="278" spans="1:75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</row>
    <row r="279" spans="1:75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</row>
    <row r="280" spans="1:75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</row>
    <row r="281" spans="1:75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</row>
    <row r="282" spans="1:75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</row>
    <row r="283" spans="1:75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</row>
    <row r="284" spans="1:75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</row>
    <row r="285" spans="1:75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</row>
    <row r="286" spans="1:75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</row>
    <row r="287" spans="1:75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</row>
    <row r="288" spans="1:75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</row>
    <row r="289" spans="1:75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</row>
    <row r="290" spans="1:75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</row>
    <row r="291" spans="1:75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</row>
    <row r="292" spans="1:75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</row>
    <row r="293" spans="1:75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</row>
    <row r="294" spans="1:75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</row>
    <row r="295" spans="1:75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</row>
    <row r="296" spans="1:75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</row>
    <row r="297" spans="1:75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</row>
    <row r="298" spans="1:75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</row>
    <row r="299" spans="1:75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</row>
    <row r="300" spans="1:75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</row>
    <row r="301" spans="1:75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</row>
    <row r="302" spans="1:75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</row>
    <row r="303" spans="1:75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</row>
    <row r="304" spans="1:75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</row>
    <row r="305" spans="1:75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</row>
    <row r="306" spans="1:75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</row>
    <row r="307" spans="1:75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</row>
    <row r="308" spans="1:75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</row>
    <row r="309" spans="1:75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</row>
    <row r="310" spans="1:75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</row>
    <row r="311" spans="1:75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</row>
    <row r="312" spans="1:75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</row>
    <row r="313" spans="1:75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</row>
    <row r="314" spans="1:75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</row>
    <row r="315" spans="1:75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</row>
    <row r="316" spans="1:75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</row>
    <row r="317" spans="1:75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</row>
    <row r="318" spans="1:75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</row>
    <row r="319" spans="1:75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</row>
    <row r="320" spans="1:75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</row>
    <row r="321" spans="1:75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</row>
    <row r="322" spans="1:75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</row>
    <row r="323" spans="1:75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</row>
    <row r="324" spans="1:75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</row>
    <row r="325" spans="1:75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</row>
    <row r="326" spans="1:75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</row>
    <row r="327" spans="1:75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</row>
    <row r="328" spans="1:75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</row>
    <row r="329" spans="1:75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</row>
    <row r="330" spans="1:75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</row>
    <row r="331" spans="1:75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</row>
    <row r="332" spans="1:75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</row>
    <row r="333" spans="1:75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</row>
    <row r="334" spans="1:75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</row>
    <row r="335" spans="1:75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</row>
    <row r="336" spans="1:75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</row>
    <row r="337" spans="1:7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</row>
    <row r="338" spans="1:7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</row>
    <row r="339" spans="1:7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</row>
    <row r="340" spans="1:7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</row>
    <row r="341" spans="1:7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</row>
    <row r="342" spans="1:7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</row>
    <row r="343" spans="1:7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</row>
    <row r="344" spans="1:7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</row>
    <row r="345" spans="1:7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</row>
    <row r="346" spans="1:7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</row>
    <row r="347" spans="1:7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</row>
    <row r="348" spans="1:7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</row>
    <row r="349" spans="1:7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</row>
    <row r="350" spans="1:7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</row>
    <row r="351" spans="1:7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</row>
    <row r="352" spans="1:7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</row>
    <row r="353" spans="1:7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</row>
    <row r="354" spans="1:7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</row>
    <row r="355" spans="1:7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</row>
    <row r="356" spans="1:7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</row>
    <row r="357" spans="1:7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</row>
    <row r="358" spans="1:7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</row>
    <row r="359" spans="1:7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</row>
    <row r="360" spans="1:7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</row>
    <row r="361" spans="1:7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</row>
    <row r="362" spans="1:7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</row>
    <row r="363" spans="1:7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</row>
    <row r="364" spans="1:7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</row>
    <row r="365" spans="1:7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</row>
    <row r="366" spans="1:7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</row>
    <row r="367" spans="1:7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</row>
    <row r="368" spans="1:7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</row>
    <row r="369" spans="1:7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</row>
    <row r="370" spans="1:7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</row>
    <row r="371" spans="1:7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</row>
    <row r="372" spans="1:7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</row>
    <row r="373" spans="1:7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</row>
    <row r="374" spans="1:7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</row>
    <row r="375" spans="1:7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</row>
    <row r="376" spans="1:7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</row>
    <row r="377" spans="1:7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</row>
    <row r="378" spans="1:7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</row>
    <row r="379" spans="1:7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</row>
    <row r="380" spans="1:7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</row>
    <row r="381" spans="1:7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</row>
    <row r="382" spans="1:7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</row>
    <row r="383" spans="1:7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</row>
    <row r="384" spans="1:7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</row>
    <row r="385" spans="1:7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</row>
    <row r="386" spans="1:7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</row>
    <row r="387" spans="1:7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</row>
    <row r="388" spans="1:7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</row>
    <row r="389" spans="1:7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</row>
    <row r="390" spans="1:7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</row>
    <row r="391" spans="1:7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</row>
    <row r="392" spans="1:7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</row>
    <row r="393" spans="1:7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</row>
    <row r="394" spans="1:7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</row>
    <row r="395" spans="1:7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</row>
    <row r="396" spans="1:7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</row>
    <row r="397" spans="1:7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</row>
    <row r="398" spans="1:7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</row>
    <row r="399" spans="1:7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</row>
    <row r="400" spans="1:7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</row>
    <row r="401" spans="1:7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</row>
    <row r="402" spans="1:7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</row>
    <row r="403" spans="1:7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</row>
    <row r="404" spans="1:7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</row>
    <row r="405" spans="1:7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</row>
    <row r="406" spans="1:7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</row>
    <row r="407" spans="1:7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</row>
    <row r="408" spans="1:7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</row>
    <row r="409" spans="1:7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</row>
    <row r="410" spans="1:7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</row>
    <row r="411" spans="1:7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</row>
    <row r="412" spans="1:7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</row>
    <row r="413" spans="1:7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</row>
    <row r="414" spans="1:7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</row>
    <row r="415" spans="1:7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</row>
    <row r="416" spans="1:7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</row>
    <row r="417" spans="1:7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</row>
    <row r="418" spans="1:7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</row>
    <row r="419" spans="1:7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</row>
    <row r="420" spans="1:7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</row>
    <row r="421" spans="1:7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</row>
    <row r="422" spans="1:7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</row>
    <row r="423" spans="1:7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</row>
    <row r="424" spans="1:7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</row>
    <row r="425" spans="1:7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</row>
    <row r="426" spans="1:7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</row>
    <row r="427" spans="1:7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</row>
    <row r="428" spans="1:7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</row>
    <row r="429" spans="1:7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</row>
    <row r="430" spans="1:7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</row>
    <row r="431" spans="1:7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</row>
    <row r="432" spans="1:7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</row>
    <row r="433" spans="1:7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</row>
    <row r="434" spans="1:7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</row>
    <row r="435" spans="1:7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</row>
    <row r="436" spans="1:7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</row>
    <row r="437" spans="1:7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</row>
    <row r="438" spans="1:7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</row>
    <row r="439" spans="1:7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</row>
    <row r="440" spans="1:7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</row>
    <row r="441" spans="1:7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</row>
    <row r="442" spans="1:7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</row>
    <row r="443" spans="1:7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</row>
    <row r="444" spans="1:7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</row>
    <row r="445" spans="1:7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</row>
    <row r="446" spans="1:7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</row>
    <row r="447" spans="1:7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</row>
    <row r="448" spans="1:7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</row>
    <row r="449" spans="1:7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</row>
    <row r="450" spans="1:7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</row>
    <row r="451" spans="1:7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</row>
    <row r="452" spans="1:7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</row>
    <row r="453" spans="1:7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</row>
    <row r="454" spans="1:7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</row>
    <row r="455" spans="1:7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</row>
    <row r="456" spans="1:7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</row>
    <row r="457" spans="1:7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</row>
    <row r="458" spans="1:7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</row>
    <row r="459" spans="1:7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</row>
    <row r="460" spans="1:7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</row>
    <row r="461" spans="1:7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</row>
    <row r="462" spans="1:7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</row>
    <row r="463" spans="1:7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</row>
    <row r="464" spans="1:7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</row>
    <row r="465" spans="1:7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</row>
    <row r="466" spans="1:7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</row>
    <row r="467" spans="1:7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</row>
    <row r="468" spans="1:7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</row>
    <row r="469" spans="1:7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</row>
    <row r="470" spans="1:7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</row>
    <row r="471" spans="1:7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</row>
    <row r="472" spans="1:7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</row>
    <row r="473" spans="1:7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</row>
    <row r="474" spans="1:7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</row>
    <row r="475" spans="1:7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</row>
    <row r="476" spans="1:7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</row>
    <row r="477" spans="1:7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</row>
    <row r="478" spans="1:7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</row>
    <row r="479" spans="1:7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</row>
    <row r="480" spans="1:7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</row>
    <row r="481" spans="1:7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</row>
    <row r="482" spans="1:7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</row>
    <row r="483" spans="1:7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</row>
    <row r="484" spans="1:7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</row>
    <row r="485" spans="1:7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</row>
    <row r="486" spans="1:7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</row>
    <row r="487" spans="1:7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</row>
    <row r="488" spans="1:7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</row>
    <row r="489" spans="1:7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</row>
    <row r="490" spans="1:7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</row>
    <row r="491" spans="1:7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</row>
    <row r="492" spans="1:7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</row>
    <row r="493" spans="1:7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</row>
    <row r="494" spans="1:7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</row>
    <row r="495" spans="1:7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</row>
    <row r="496" spans="1:7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</row>
    <row r="497" spans="1:7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</row>
    <row r="498" spans="1:7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</row>
    <row r="499" spans="1:7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</row>
    <row r="500" spans="1:7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</row>
    <row r="501" spans="1:7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</row>
    <row r="502" spans="1:7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</row>
    <row r="503" spans="1:7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</row>
    <row r="504" spans="1:7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</row>
    <row r="505" spans="1:7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</row>
    <row r="506" spans="1:7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</row>
    <row r="507" spans="1:7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</row>
    <row r="508" spans="1:7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</row>
    <row r="509" spans="1:7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</row>
    <row r="510" spans="1:7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</row>
    <row r="511" spans="1:7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</row>
    <row r="512" spans="1:7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</row>
    <row r="513" spans="1:7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</row>
    <row r="514" spans="1:7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</row>
    <row r="515" spans="1:7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</row>
    <row r="516" spans="1:7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</row>
    <row r="517" spans="1:7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</row>
    <row r="518" spans="1:7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</row>
    <row r="519" spans="1:7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</row>
    <row r="520" spans="1:7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</row>
    <row r="521" spans="1:7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</row>
    <row r="522" spans="1:7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</row>
    <row r="523" spans="1:7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</row>
    <row r="524" spans="1:7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</row>
    <row r="525" spans="1:7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</row>
    <row r="526" spans="1:7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</row>
    <row r="527" spans="1:7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</row>
    <row r="528" spans="1:7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</row>
    <row r="529" spans="1:7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</row>
    <row r="530" spans="1:7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</row>
    <row r="531" spans="1:7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</row>
    <row r="532" spans="1:7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</row>
    <row r="533" spans="1:7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</row>
    <row r="534" spans="1:7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</row>
    <row r="535" spans="1:7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</row>
    <row r="536" spans="1:7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</row>
    <row r="537" spans="1:7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</row>
    <row r="538" spans="1:7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</row>
    <row r="539" spans="1:7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</row>
    <row r="540" spans="1:7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</row>
    <row r="541" spans="1:7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</row>
    <row r="542" spans="1:7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</row>
    <row r="543" spans="1:7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</row>
    <row r="544" spans="1:7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</row>
    <row r="545" spans="1:7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</row>
    <row r="546" spans="1:7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</row>
    <row r="547" spans="1:7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</row>
    <row r="548" spans="1:7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</row>
    <row r="549" spans="1:7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</row>
    <row r="550" spans="1:7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</row>
    <row r="551" spans="1:7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</row>
    <row r="552" spans="1:7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</row>
    <row r="553" spans="1:7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</row>
    <row r="554" spans="1:7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</row>
    <row r="555" spans="1:7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</row>
    <row r="556" spans="1:7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</row>
    <row r="557" spans="1:7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</row>
    <row r="558" spans="1:7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</row>
    <row r="559" spans="1:7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</row>
    <row r="560" spans="1:7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</row>
    <row r="561" spans="1:7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</row>
    <row r="562" spans="1:7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</row>
    <row r="563" spans="1:7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</row>
    <row r="564" spans="1:7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</row>
    <row r="565" spans="1:7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</row>
    <row r="566" spans="1:7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</row>
    <row r="567" spans="1:7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</row>
    <row r="568" spans="1:7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</row>
    <row r="569" spans="1:7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</row>
    <row r="570" spans="1:7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</row>
    <row r="571" spans="1:7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</row>
    <row r="572" spans="1:7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</row>
    <row r="573" spans="1:7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</row>
    <row r="574" spans="1:7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</row>
    <row r="575" spans="1:7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</row>
    <row r="576" spans="1:7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</row>
    <row r="577" spans="1:7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</row>
    <row r="578" spans="1:7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</row>
    <row r="579" spans="1:7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</row>
    <row r="580" spans="1:7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</row>
    <row r="581" spans="1:7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</row>
    <row r="582" spans="1:7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</row>
    <row r="583" spans="1:7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</row>
    <row r="584" spans="1:7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</row>
    <row r="585" spans="1:7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</row>
    <row r="586" spans="1:7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</row>
    <row r="587" spans="1:7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</row>
    <row r="588" spans="1:7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</row>
    <row r="589" spans="1:7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</row>
    <row r="590" spans="1:7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</row>
    <row r="591" spans="1:7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</row>
    <row r="592" spans="1:7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</row>
    <row r="593" spans="1:7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</row>
    <row r="594" spans="1:7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</row>
    <row r="595" spans="1:7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</row>
    <row r="596" spans="1:7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</row>
    <row r="597" spans="1:7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</row>
    <row r="598" spans="1:7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</row>
    <row r="599" spans="1:7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</row>
    <row r="600" spans="1:7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</row>
    <row r="601" spans="1:7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</row>
    <row r="602" spans="1:7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</row>
    <row r="603" spans="1:7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</row>
    <row r="604" spans="1:7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</row>
    <row r="605" spans="1:7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</row>
    <row r="606" spans="1:7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</row>
    <row r="607" spans="1:7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</row>
    <row r="608" spans="1:7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</row>
    <row r="609" spans="1:7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</row>
    <row r="610" spans="1:7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</row>
    <row r="611" spans="1:7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</row>
    <row r="612" spans="1:7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</row>
    <row r="613" spans="1:7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</row>
    <row r="614" spans="1:7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</row>
    <row r="615" spans="1:7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</row>
    <row r="616" spans="1:7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</row>
    <row r="617" spans="1:7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</row>
    <row r="618" spans="1:7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</row>
    <row r="619" spans="1:7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</row>
    <row r="620" spans="1:7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</row>
    <row r="621" spans="1:7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</row>
    <row r="622" spans="1:7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</row>
    <row r="623" spans="1:7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</row>
    <row r="624" spans="1:7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</row>
    <row r="625" spans="1:7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</row>
    <row r="626" spans="1:7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</row>
    <row r="627" spans="1:7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</row>
    <row r="628" spans="1:7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</row>
    <row r="629" spans="1:7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</row>
    <row r="630" spans="1:7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</row>
    <row r="631" spans="1:7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</row>
    <row r="632" spans="1:7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</row>
    <row r="633" spans="1:7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</row>
    <row r="634" spans="1:7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</row>
    <row r="635" spans="1:7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</row>
    <row r="636" spans="1:7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</row>
    <row r="637" spans="1:7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</row>
    <row r="638" spans="1:7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</row>
    <row r="639" spans="1:7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</row>
    <row r="640" spans="1:7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</row>
    <row r="641" spans="1:7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</row>
    <row r="642" spans="1:7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</row>
    <row r="643" spans="1:7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</row>
    <row r="644" spans="1:7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</row>
    <row r="645" spans="1:7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</row>
    <row r="646" spans="1:7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</row>
    <row r="647" spans="1:7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</row>
    <row r="648" spans="1:7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7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7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7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7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7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</sheetData>
  <sheetProtection algorithmName="SHA-512" hashValue="mi2KbE0BBIbAE8nVWznsOcLTMog+HlfpdEClR2MF/hP21+wRr+8OnA0VOnWTdTx80uKbcHWPxLZsCFkYPegqCw==" saltValue="5TzCj7R0f1CRL8nEKeavd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8ABD-B3C0-4F44-B3E1-5E1044FF38BA}">
  <dimension ref="A1:BH389"/>
  <sheetViews>
    <sheetView rightToLeft="1" topLeftCell="A13" zoomScale="85" zoomScaleNormal="85" workbookViewId="0">
      <selection activeCell="C27" sqref="C27"/>
    </sheetView>
  </sheetViews>
  <sheetFormatPr defaultRowHeight="14.25" x14ac:dyDescent="0.2"/>
  <cols>
    <col min="1" max="1" width="9.75" bestFit="1" customWidth="1"/>
    <col min="2" max="2" width="8.875" bestFit="1" customWidth="1"/>
    <col min="3" max="3" width="7.875" bestFit="1" customWidth="1"/>
    <col min="4" max="6" width="12.875" bestFit="1" customWidth="1"/>
    <col min="7" max="7" width="13.5" bestFit="1" customWidth="1"/>
    <col min="8" max="10" width="12.875" bestFit="1" customWidth="1"/>
    <col min="11" max="11" width="14" bestFit="1" customWidth="1"/>
    <col min="12" max="12" width="12.875" bestFit="1" customWidth="1"/>
    <col min="13" max="13" width="18.875" bestFit="1" customWidth="1"/>
    <col min="14" max="14" width="23.75" bestFit="1" customWidth="1"/>
    <col min="15" max="15" width="16.875" bestFit="1" customWidth="1"/>
    <col min="16" max="16" width="17.75" bestFit="1" customWidth="1"/>
    <col min="17" max="17" width="12.875" bestFit="1" customWidth="1"/>
    <col min="18" max="18" width="7.625" customWidth="1"/>
    <col min="19" max="19" width="10.75" customWidth="1"/>
    <col min="21" max="21" width="7.875" customWidth="1"/>
  </cols>
  <sheetData>
    <row r="1" spans="1:60" x14ac:dyDescent="0.2">
      <c r="A1" s="84" t="s">
        <v>9</v>
      </c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0" x14ac:dyDescent="0.2">
      <c r="A2" s="85"/>
      <c r="B2" s="85"/>
      <c r="C2" s="85"/>
      <c r="D2" s="85"/>
      <c r="E2" s="85"/>
      <c r="F2" s="85"/>
      <c r="G2" s="85"/>
      <c r="H2" s="85"/>
      <c r="I2" s="8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6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60" ht="15" x14ac:dyDescent="0.2">
      <c r="A5" s="82" t="s">
        <v>4</v>
      </c>
      <c r="B5" s="86" t="s">
        <v>6</v>
      </c>
      <c r="C5" s="80"/>
      <c r="D5" s="47">
        <v>9</v>
      </c>
      <c r="E5" s="47">
        <v>10</v>
      </c>
      <c r="F5" s="47">
        <v>11</v>
      </c>
      <c r="G5" s="47">
        <v>12</v>
      </c>
      <c r="H5" s="47">
        <v>13</v>
      </c>
      <c r="I5" s="47">
        <v>14</v>
      </c>
      <c r="J5" s="47">
        <v>15</v>
      </c>
      <c r="K5" s="47">
        <v>16</v>
      </c>
      <c r="L5" s="1"/>
      <c r="M5" s="11" t="s">
        <v>0</v>
      </c>
      <c r="N5" s="11" t="s">
        <v>1</v>
      </c>
      <c r="O5" s="11" t="s">
        <v>2</v>
      </c>
      <c r="P5" s="11" t="s">
        <v>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5.75" thickBot="1" x14ac:dyDescent="0.25">
      <c r="A6" s="83"/>
      <c r="B6" s="86"/>
      <c r="C6" s="81"/>
      <c r="D6" s="47"/>
      <c r="E6" s="47"/>
      <c r="F6" s="47"/>
      <c r="G6" s="47"/>
      <c r="H6" s="47"/>
      <c r="I6" s="47"/>
      <c r="J6" s="47"/>
      <c r="K6" s="47"/>
      <c r="L6" s="1"/>
      <c r="M6" s="11">
        <v>1</v>
      </c>
      <c r="N6" s="11">
        <v>12520</v>
      </c>
      <c r="O6" s="12">
        <v>0.95</v>
      </c>
      <c r="P6" s="13">
        <v>0.97499999999999998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9.5" customHeight="1" thickBot="1" x14ac:dyDescent="0.25">
      <c r="A7" s="83"/>
      <c r="B7" s="8" t="s">
        <v>71</v>
      </c>
      <c r="C7" s="22"/>
      <c r="D7" s="23">
        <v>426</v>
      </c>
      <c r="E7" s="24">
        <v>568</v>
      </c>
      <c r="F7" s="24">
        <v>852</v>
      </c>
      <c r="G7" s="25">
        <v>993</v>
      </c>
      <c r="H7" s="23">
        <v>873</v>
      </c>
      <c r="I7" s="24">
        <v>873</v>
      </c>
      <c r="J7" s="24">
        <v>873</v>
      </c>
      <c r="K7" s="25">
        <v>873</v>
      </c>
      <c r="L7" s="1"/>
      <c r="M7" s="11">
        <v>2</v>
      </c>
      <c r="N7" s="11">
        <v>15305</v>
      </c>
      <c r="O7" s="12">
        <v>0.95</v>
      </c>
      <c r="P7" s="13">
        <v>0.97499999999999998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8" customHeight="1" x14ac:dyDescent="0.2">
      <c r="A8" s="83"/>
      <c r="B8" s="79" t="s">
        <v>61</v>
      </c>
      <c r="C8" s="22" t="s">
        <v>7</v>
      </c>
      <c r="D8" s="26">
        <v>234</v>
      </c>
      <c r="E8" s="27">
        <v>242</v>
      </c>
      <c r="F8" s="27">
        <v>250</v>
      </c>
      <c r="G8" s="27">
        <v>249</v>
      </c>
      <c r="H8" s="27">
        <v>353</v>
      </c>
      <c r="I8" s="27">
        <v>390</v>
      </c>
      <c r="J8" s="27">
        <v>273</v>
      </c>
      <c r="K8" s="28">
        <v>188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3.5" customHeight="1" thickBot="1" x14ac:dyDescent="0.25">
      <c r="A9" s="83"/>
      <c r="B9" s="79"/>
      <c r="C9" s="22" t="s">
        <v>8</v>
      </c>
      <c r="D9" s="29">
        <v>435</v>
      </c>
      <c r="E9" s="30">
        <v>450</v>
      </c>
      <c r="F9" s="30">
        <v>465</v>
      </c>
      <c r="G9" s="30">
        <v>463</v>
      </c>
      <c r="H9" s="30">
        <v>656</v>
      </c>
      <c r="I9" s="30">
        <v>724</v>
      </c>
      <c r="J9" s="30">
        <v>508</v>
      </c>
      <c r="K9" s="31">
        <v>350</v>
      </c>
      <c r="L9" s="1"/>
      <c r="M9" s="1"/>
      <c r="N9" s="1"/>
      <c r="O9" s="1"/>
      <c r="P9" s="10" t="s">
        <v>10</v>
      </c>
      <c r="Q9" s="10">
        <v>16000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x14ac:dyDescent="0.2">
      <c r="A10" s="83"/>
      <c r="B10" s="8" t="s">
        <v>5</v>
      </c>
      <c r="C10" s="8">
        <v>50</v>
      </c>
      <c r="D10" s="32">
        <f>D8+D9-D7+C10</f>
        <v>293</v>
      </c>
      <c r="E10" s="32">
        <f>692-568+293</f>
        <v>417</v>
      </c>
      <c r="F10" s="32">
        <f t="shared" ref="F10:G10" si="0">F8+F9-F7+E10</f>
        <v>280</v>
      </c>
      <c r="G10" s="32">
        <f t="shared" si="0"/>
        <v>-1</v>
      </c>
      <c r="H10" s="32">
        <f t="shared" ref="H10" si="1">H8+H9-H7+G10</f>
        <v>135</v>
      </c>
      <c r="I10" s="32">
        <f t="shared" ref="I10" si="2">I8+I9-I7+H10</f>
        <v>376</v>
      </c>
      <c r="J10" s="32">
        <f t="shared" ref="J10" si="3">J8+J9-J7+I10</f>
        <v>284</v>
      </c>
      <c r="K10" s="32">
        <f t="shared" ref="K10" si="4">K8+K9-K7+J10</f>
        <v>-51</v>
      </c>
      <c r="L10" s="1"/>
      <c r="M10" s="1"/>
      <c r="N10" s="1"/>
      <c r="O10" s="1"/>
      <c r="P10" s="10" t="s">
        <v>11</v>
      </c>
      <c r="Q10" s="10">
        <v>255000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45" x14ac:dyDescent="0.2">
      <c r="A11" s="83"/>
      <c r="B11" s="9" t="s">
        <v>13</v>
      </c>
      <c r="C11" s="8"/>
      <c r="D11" s="33">
        <f>IF(D10&gt;0,D10*$Q$9,ABS(D10)*$Q$10)</f>
        <v>4688000</v>
      </c>
      <c r="E11" s="33">
        <f>IF(E10&gt;0,E10*$Q$9,ABS(E10)*$Q$10)</f>
        <v>6672000</v>
      </c>
      <c r="F11" s="33">
        <f>IF(F10&gt;0,F10*$Q$9,ABS(F10)*$Q$10)</f>
        <v>4480000</v>
      </c>
      <c r="G11" s="33">
        <f>IF(G10&gt;0,G10*$Q$9,ABS(G10)*$Q$10)</f>
        <v>255000</v>
      </c>
      <c r="H11" s="33">
        <f t="shared" ref="H11:K11" si="5">IF(H10&gt;0,H10*$Q$9,ABS(H10)*$Q$10)</f>
        <v>2160000</v>
      </c>
      <c r="I11" s="33">
        <f t="shared" si="5"/>
        <v>6016000</v>
      </c>
      <c r="J11" s="33">
        <f t="shared" si="5"/>
        <v>4544000</v>
      </c>
      <c r="K11" s="33">
        <f t="shared" si="5"/>
        <v>13005000</v>
      </c>
      <c r="L11" s="1"/>
      <c r="M11" s="1"/>
      <c r="N11" s="1"/>
      <c r="O11" s="1"/>
      <c r="P11" s="17" t="s">
        <v>46</v>
      </c>
      <c r="Q11" s="34">
        <v>4700000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60" ht="15" x14ac:dyDescent="0.25">
      <c r="A13" s="1"/>
      <c r="B13" s="1"/>
      <c r="C13" s="1"/>
      <c r="D13" s="2" t="s">
        <v>20</v>
      </c>
      <c r="E13" s="3" t="s">
        <v>27</v>
      </c>
      <c r="F13" s="3" t="s">
        <v>28</v>
      </c>
      <c r="G13" s="3" t="s">
        <v>29</v>
      </c>
      <c r="H13" s="1"/>
      <c r="I13" s="72" t="s">
        <v>31</v>
      </c>
      <c r="J13" s="72"/>
      <c r="K13" s="72"/>
      <c r="L13" s="7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60" ht="15.75" x14ac:dyDescent="0.25">
      <c r="A14" s="1"/>
      <c r="B14" s="1"/>
      <c r="C14" s="1"/>
      <c r="D14" s="4" t="s">
        <v>4</v>
      </c>
      <c r="E14" s="5">
        <v>1</v>
      </c>
      <c r="F14" s="5">
        <v>1</v>
      </c>
      <c r="G14" s="5">
        <v>50</v>
      </c>
      <c r="H14" s="1"/>
      <c r="I14" s="60" t="s">
        <v>32</v>
      </c>
      <c r="J14" s="60" t="s">
        <v>0</v>
      </c>
      <c r="K14" s="60" t="s">
        <v>33</v>
      </c>
      <c r="L14" s="60" t="s">
        <v>34</v>
      </c>
      <c r="M14" s="48" t="s">
        <v>64</v>
      </c>
      <c r="N14" s="1" t="s">
        <v>72</v>
      </c>
      <c r="O14" s="62" t="s">
        <v>73</v>
      </c>
      <c r="P14" s="64" t="s">
        <v>74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60" ht="15.75" x14ac:dyDescent="0.25">
      <c r="A15" s="1"/>
      <c r="B15" s="1"/>
      <c r="C15" s="1"/>
      <c r="D15" s="6" t="s">
        <v>21</v>
      </c>
      <c r="E15" s="5">
        <v>1</v>
      </c>
      <c r="F15" s="5">
        <v>2</v>
      </c>
      <c r="G15" s="5">
        <v>60</v>
      </c>
      <c r="H15" s="1"/>
      <c r="I15" s="73" t="s">
        <v>4</v>
      </c>
      <c r="J15" s="5">
        <v>1</v>
      </c>
      <c r="K15" s="5">
        <v>15</v>
      </c>
      <c r="L15" s="5">
        <v>1.2</v>
      </c>
      <c r="M15" s="48" t="str">
        <f t="shared" ref="M15:M23" si="6">IF(ISBLANK(I15),I14,I15)&amp;J15</f>
        <v>vulcan101</v>
      </c>
      <c r="N15" s="61">
        <f>AVERAGE($D$8:$K$9)*2*IFERROR(VLOOKUP(I15,$D$14:$E$20,2,0),VLOOKUP(I14,$D$14:$E$20,2,0))</f>
        <v>778.75</v>
      </c>
      <c r="O15" s="63">
        <f>L15+K15/N15</f>
        <v>1.2192616372391654</v>
      </c>
      <c r="P15" s="65">
        <f>O15*IFERROR(VLOOKUP(I15,$D$14:$E$20,2,0),VLOOKUP(I14,$D$14:$E$20,2,0))</f>
        <v>1.2192616372391654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60" ht="15.75" x14ac:dyDescent="0.25">
      <c r="A16" s="1"/>
      <c r="B16" s="1"/>
      <c r="C16" s="1"/>
      <c r="D16" s="7" t="s">
        <v>22</v>
      </c>
      <c r="E16" s="5">
        <v>1</v>
      </c>
      <c r="F16" s="5">
        <v>2</v>
      </c>
      <c r="G16" s="5">
        <v>40</v>
      </c>
      <c r="H16" s="1"/>
      <c r="I16" s="74"/>
      <c r="J16" s="5">
        <v>2</v>
      </c>
      <c r="K16" s="5">
        <v>20</v>
      </c>
      <c r="L16" s="5">
        <v>1.5</v>
      </c>
      <c r="M16" s="48" t="str">
        <f t="shared" si="6"/>
        <v>vulcan102</v>
      </c>
      <c r="N16" s="61">
        <f t="shared" ref="N16:N24" si="7">AVERAGE($D$8:$K$9)*2*IFERROR(VLOOKUP(I16,$D$14:$E$20,2,0),VLOOKUP(I15,$D$14:$E$20,2,0))</f>
        <v>778.75</v>
      </c>
      <c r="O16" s="63">
        <f t="shared" ref="O16:O24" si="8">L16+K16/N16</f>
        <v>1.5256821829855538</v>
      </c>
      <c r="P16" s="65">
        <f t="shared" ref="P16:P24" si="9">O16*IFERROR(VLOOKUP(I16,$D$14:$E$20,2,0),VLOOKUP(I15,$D$14:$E$20,2,0))</f>
        <v>1.5256821829855538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15.75" x14ac:dyDescent="0.25">
      <c r="A17" s="1"/>
      <c r="B17" s="1"/>
      <c r="C17" s="1"/>
      <c r="D17" s="7" t="s">
        <v>23</v>
      </c>
      <c r="E17" s="5">
        <v>1</v>
      </c>
      <c r="F17" s="5">
        <v>1</v>
      </c>
      <c r="G17" s="5">
        <v>30</v>
      </c>
      <c r="H17" s="1"/>
      <c r="I17" s="6" t="s">
        <v>21</v>
      </c>
      <c r="J17" s="5">
        <v>1</v>
      </c>
      <c r="K17" s="5">
        <v>10</v>
      </c>
      <c r="L17" s="5">
        <v>0.5</v>
      </c>
      <c r="M17" s="48" t="str">
        <f t="shared" si="6"/>
        <v>A1</v>
      </c>
      <c r="N17" s="61">
        <f>AVERAGE($D$8:$K$9)*2*IFERROR(VLOOKUP(I17,$D$14:$E$20,2,0),VLOOKUP(I16,$D$14:$E$20,2,0))</f>
        <v>778.75</v>
      </c>
      <c r="O17" s="63">
        <f t="shared" si="8"/>
        <v>0.5128410914927769</v>
      </c>
      <c r="P17" s="65">
        <f t="shared" si="9"/>
        <v>0.5128410914927769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15.75" x14ac:dyDescent="0.25">
      <c r="A18" s="1"/>
      <c r="B18" s="1"/>
      <c r="C18" s="1"/>
      <c r="D18" s="6" t="s">
        <v>24</v>
      </c>
      <c r="E18" s="5">
        <v>1</v>
      </c>
      <c r="F18" s="5">
        <v>2</v>
      </c>
      <c r="G18" s="5">
        <v>60</v>
      </c>
      <c r="H18" s="1"/>
      <c r="I18" s="7" t="s">
        <v>22</v>
      </c>
      <c r="J18" s="5">
        <v>1</v>
      </c>
      <c r="K18" s="5">
        <v>7</v>
      </c>
      <c r="L18" s="5">
        <v>0.5</v>
      </c>
      <c r="M18" s="48" t="str">
        <f t="shared" si="6"/>
        <v>A11</v>
      </c>
      <c r="N18" s="61">
        <f t="shared" si="7"/>
        <v>778.75</v>
      </c>
      <c r="O18" s="63">
        <f t="shared" si="8"/>
        <v>0.50898876404494386</v>
      </c>
      <c r="P18" s="65">
        <f t="shared" si="9"/>
        <v>0.50898876404494386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5.75" x14ac:dyDescent="0.25">
      <c r="A19" s="1"/>
      <c r="B19" s="1"/>
      <c r="C19" s="1"/>
      <c r="D19" s="6" t="s">
        <v>25</v>
      </c>
      <c r="E19" s="5">
        <v>2</v>
      </c>
      <c r="F19" s="5">
        <v>3</v>
      </c>
      <c r="G19" s="5">
        <v>80</v>
      </c>
      <c r="H19" s="1"/>
      <c r="I19" s="7" t="s">
        <v>23</v>
      </c>
      <c r="J19" s="5">
        <v>2</v>
      </c>
      <c r="K19" s="5">
        <v>9</v>
      </c>
      <c r="L19" s="5">
        <v>0.75</v>
      </c>
      <c r="M19" s="48" t="str">
        <f>IF(ISBLANK(I19),I18,I19)&amp;J19</f>
        <v>A22</v>
      </c>
      <c r="N19" s="61">
        <f t="shared" si="7"/>
        <v>778.75</v>
      </c>
      <c r="O19" s="63">
        <f t="shared" si="8"/>
        <v>0.76155698234349922</v>
      </c>
      <c r="P19" s="65">
        <f t="shared" si="9"/>
        <v>0.76155698234349922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5.75" x14ac:dyDescent="0.25">
      <c r="A20" s="1"/>
      <c r="B20" s="1"/>
      <c r="C20" s="1"/>
      <c r="D20" s="6" t="s">
        <v>26</v>
      </c>
      <c r="E20" s="5">
        <v>2</v>
      </c>
      <c r="F20" s="5">
        <v>2</v>
      </c>
      <c r="G20" s="5">
        <v>70</v>
      </c>
      <c r="H20" s="1"/>
      <c r="I20" s="75" t="s">
        <v>24</v>
      </c>
      <c r="J20" s="5">
        <v>2</v>
      </c>
      <c r="K20" s="5">
        <v>10</v>
      </c>
      <c r="L20" s="5">
        <v>0.9</v>
      </c>
      <c r="M20" s="48" t="str">
        <f t="shared" si="6"/>
        <v>B2</v>
      </c>
      <c r="N20" s="61">
        <f t="shared" si="7"/>
        <v>778.75</v>
      </c>
      <c r="O20" s="63">
        <f t="shared" si="8"/>
        <v>0.91284109149277692</v>
      </c>
      <c r="P20" s="65">
        <f t="shared" si="9"/>
        <v>0.91284109149277692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5.75" x14ac:dyDescent="0.25">
      <c r="A21" s="1"/>
      <c r="B21" s="1"/>
      <c r="C21" s="1"/>
      <c r="D21" s="1"/>
      <c r="E21" s="1"/>
      <c r="F21" s="1"/>
      <c r="G21" s="1"/>
      <c r="H21" s="1"/>
      <c r="I21" s="76"/>
      <c r="J21" s="5">
        <v>1</v>
      </c>
      <c r="K21" s="5">
        <v>8</v>
      </c>
      <c r="L21" s="5">
        <v>0.75</v>
      </c>
      <c r="M21" s="48" t="str">
        <f t="shared" si="6"/>
        <v>B1</v>
      </c>
      <c r="N21" s="61">
        <f t="shared" si="7"/>
        <v>778.75</v>
      </c>
      <c r="O21" s="63">
        <f t="shared" si="8"/>
        <v>0.76027287319422154</v>
      </c>
      <c r="P21" s="65">
        <f t="shared" si="9"/>
        <v>0.76027287319422154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5.75" x14ac:dyDescent="0.25">
      <c r="A22" s="1"/>
      <c r="B22" s="1"/>
      <c r="C22" s="1"/>
      <c r="D22" s="1"/>
      <c r="E22" s="1"/>
      <c r="F22" s="1"/>
      <c r="G22" s="1"/>
      <c r="H22" s="1"/>
      <c r="I22" s="6" t="s">
        <v>25</v>
      </c>
      <c r="J22" s="5">
        <v>2</v>
      </c>
      <c r="K22" s="5">
        <v>10</v>
      </c>
      <c r="L22" s="5">
        <v>1</v>
      </c>
      <c r="M22" s="48" t="str">
        <f t="shared" si="6"/>
        <v>C2</v>
      </c>
      <c r="N22" s="61">
        <f t="shared" si="7"/>
        <v>1557.5</v>
      </c>
      <c r="O22" s="63">
        <f t="shared" si="8"/>
        <v>1.0064205457463884</v>
      </c>
      <c r="P22" s="65">
        <f t="shared" si="9"/>
        <v>2.0128410914927768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5.75" x14ac:dyDescent="0.25">
      <c r="A23" s="1"/>
      <c r="B23" s="1"/>
      <c r="C23" s="1"/>
      <c r="D23" s="1"/>
      <c r="E23" s="1"/>
      <c r="F23" s="1"/>
      <c r="G23" s="1"/>
      <c r="H23" s="1"/>
      <c r="I23" s="77" t="s">
        <v>26</v>
      </c>
      <c r="J23" s="5">
        <v>1</v>
      </c>
      <c r="K23" s="5">
        <v>10</v>
      </c>
      <c r="L23" s="5">
        <v>0.75</v>
      </c>
      <c r="M23" s="48" t="str">
        <f t="shared" si="6"/>
        <v>D1</v>
      </c>
      <c r="N23" s="61">
        <f t="shared" si="7"/>
        <v>1557.5</v>
      </c>
      <c r="O23" s="63">
        <f t="shared" si="8"/>
        <v>0.7564205457463884</v>
      </c>
      <c r="P23" s="65">
        <f t="shared" si="9"/>
        <v>1.5128410914927768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5.75" x14ac:dyDescent="0.25">
      <c r="A24" s="1"/>
      <c r="B24" s="1"/>
      <c r="C24" s="1"/>
      <c r="D24" s="1"/>
      <c r="E24" s="1"/>
      <c r="F24" s="1"/>
      <c r="G24" s="1"/>
      <c r="H24" s="1"/>
      <c r="I24" s="77"/>
      <c r="J24" s="5">
        <v>2</v>
      </c>
      <c r="K24" s="5">
        <v>12</v>
      </c>
      <c r="L24" s="5">
        <v>1</v>
      </c>
      <c r="M24" s="48" t="str">
        <f>IF(ISBLANK(I24),I23,I24)&amp;J24</f>
        <v>D2</v>
      </c>
      <c r="N24" s="61">
        <f t="shared" si="7"/>
        <v>1557.5</v>
      </c>
      <c r="O24" s="63">
        <f t="shared" si="8"/>
        <v>1.0077046548956661</v>
      </c>
      <c r="P24" s="65">
        <f t="shared" si="9"/>
        <v>2.0154093097913321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">
      <c r="A27" s="1"/>
      <c r="B27" s="1"/>
      <c r="C27" s="1"/>
      <c r="D27" s="1"/>
      <c r="E27" s="1"/>
      <c r="F27" s="71" t="s">
        <v>4</v>
      </c>
      <c r="G27" s="71"/>
      <c r="H27" s="7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">
      <c r="A28" s="1"/>
      <c r="B28" s="1"/>
      <c r="C28" s="1"/>
      <c r="D28" s="1"/>
      <c r="E28" s="1"/>
      <c r="F28" s="71"/>
      <c r="G28" s="71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2">
      <c r="A30" s="1"/>
      <c r="B30" s="70" t="s">
        <v>17</v>
      </c>
      <c r="C30" s="70"/>
      <c r="D30" s="1"/>
      <c r="E30" s="70" t="s">
        <v>16</v>
      </c>
      <c r="F30" s="70"/>
      <c r="G30" s="1"/>
      <c r="H30" s="70" t="s">
        <v>15</v>
      </c>
      <c r="I30" s="70"/>
      <c r="J30" s="1"/>
      <c r="K30" s="70" t="s">
        <v>14</v>
      </c>
      <c r="L30" s="70"/>
      <c r="M30" s="1"/>
      <c r="N30" s="1"/>
      <c r="O30" s="1"/>
      <c r="P30" s="1"/>
      <c r="Q30" s="1"/>
      <c r="R30" s="1"/>
      <c r="S30" s="1"/>
      <c r="T30" s="1"/>
      <c r="U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2">
      <c r="A31" s="1"/>
      <c r="B31" s="70"/>
      <c r="C31" s="70"/>
      <c r="D31" s="1"/>
      <c r="E31" s="70"/>
      <c r="F31" s="70"/>
      <c r="G31" s="1"/>
      <c r="H31" s="70"/>
      <c r="I31" s="70"/>
      <c r="J31" s="1"/>
      <c r="K31" s="70"/>
      <c r="L31" s="70"/>
      <c r="M31" s="1"/>
      <c r="N31" s="1"/>
      <c r="O31" s="1"/>
      <c r="P31" s="1"/>
      <c r="Q31" s="1"/>
      <c r="R31" s="1"/>
      <c r="S31" s="1"/>
      <c r="T31" s="1"/>
      <c r="U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78" t="s">
        <v>19</v>
      </c>
      <c r="L33" s="1"/>
      <c r="M33" s="78" t="s">
        <v>18</v>
      </c>
      <c r="N33" s="1"/>
      <c r="O33" s="1"/>
      <c r="P33" s="1"/>
      <c r="Q33" s="1"/>
      <c r="R33" s="1"/>
      <c r="S33" s="1"/>
      <c r="T33" s="1"/>
      <c r="U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78"/>
      <c r="L34" s="1"/>
      <c r="M34" s="7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5" x14ac:dyDescent="0.25">
      <c r="A38" s="1"/>
      <c r="B38" s="1"/>
      <c r="C38" s="42" t="s">
        <v>68</v>
      </c>
      <c r="D38" s="66" t="s">
        <v>75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5" x14ac:dyDescent="0.2">
      <c r="A39" s="1"/>
      <c r="B39" s="1"/>
      <c r="C39" s="52">
        <v>1</v>
      </c>
      <c r="D39" s="49">
        <f>SUMIFS(P15:P24,J15:J24,C39)</f>
        <v>4.5142054574638841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5" x14ac:dyDescent="0.2">
      <c r="A40" s="1"/>
      <c r="B40" s="1"/>
      <c r="C40" s="56">
        <v>2</v>
      </c>
      <c r="D40" s="49">
        <f>SUMIFS(P16:P25,J16:J25,C40)</f>
        <v>7.2283306581059392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5" x14ac:dyDescent="0.2">
      <c r="A42" s="1"/>
      <c r="B42" s="1"/>
      <c r="C42" s="42" t="s">
        <v>68</v>
      </c>
      <c r="D42" s="47">
        <v>9</v>
      </c>
      <c r="E42" s="47">
        <v>10</v>
      </c>
      <c r="F42" s="47">
        <v>11</v>
      </c>
      <c r="G42" s="47">
        <v>12</v>
      </c>
      <c r="H42" s="47">
        <v>13</v>
      </c>
      <c r="I42" s="47">
        <v>14</v>
      </c>
      <c r="J42" s="47">
        <v>15</v>
      </c>
      <c r="K42" s="47">
        <v>16</v>
      </c>
      <c r="L42" s="68" t="s">
        <v>76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5" x14ac:dyDescent="0.2">
      <c r="A43" s="1"/>
      <c r="B43" s="1"/>
      <c r="C43" s="52">
        <v>1</v>
      </c>
      <c r="D43" s="67">
        <f t="shared" ref="D43:K44" si="10">VLOOKUP($C43,$C$38:$D$40,2,0)*SUM(D8:D9)</f>
        <v>3020.0034510433384</v>
      </c>
      <c r="E43" s="67">
        <f t="shared" si="10"/>
        <v>3123.8301765650076</v>
      </c>
      <c r="F43" s="67">
        <f t="shared" si="10"/>
        <v>3227.6569020866773</v>
      </c>
      <c r="G43" s="67">
        <f t="shared" si="10"/>
        <v>3214.1142857142854</v>
      </c>
      <c r="H43" s="67">
        <f t="shared" si="10"/>
        <v>4554.8333065810593</v>
      </c>
      <c r="I43" s="67">
        <f t="shared" si="10"/>
        <v>5028.8248796147673</v>
      </c>
      <c r="J43" s="67">
        <f t="shared" si="10"/>
        <v>3525.5944622792936</v>
      </c>
      <c r="K43" s="67">
        <f t="shared" si="10"/>
        <v>2428.6425361155698</v>
      </c>
      <c r="L43" s="69">
        <f>AVERAGE(D43:K43)</f>
        <v>3515.4375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5" x14ac:dyDescent="0.2">
      <c r="A44" s="1"/>
      <c r="B44" s="1"/>
      <c r="C44" s="56">
        <v>2</v>
      </c>
      <c r="D44" s="67">
        <f t="shared" si="10"/>
        <v>5262.2247191011238</v>
      </c>
      <c r="E44" s="67">
        <f t="shared" si="10"/>
        <v>6266.9626805778489</v>
      </c>
      <c r="F44" s="67">
        <f t="shared" si="10"/>
        <v>5385.1063402889249</v>
      </c>
      <c r="G44" s="67">
        <f t="shared" si="10"/>
        <v>3339.4887640449438</v>
      </c>
      <c r="H44" s="67">
        <f t="shared" si="10"/>
        <v>5717.6095505617977</v>
      </c>
      <c r="I44" s="67">
        <f t="shared" si="10"/>
        <v>7951.1637239165329</v>
      </c>
      <c r="J44" s="67">
        <f t="shared" si="10"/>
        <v>5724.8378812199035</v>
      </c>
      <c r="K44" s="67">
        <f t="shared" si="10"/>
        <v>2161.2708667736756</v>
      </c>
      <c r="L44" s="69">
        <f>AVERAGE(D44:K44)</f>
        <v>5226.0830658105942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</sheetData>
  <sheetProtection algorithmName="SHA-512" hashValue="ycNuR9Gb8/sW/PPKuf7YMStqr7Sg59qcZ4N6dzfNyFWvnUY3yqbdhTXFMstj9VgqRVS6DzgfsFEmvuhPSnf25A==" saltValue="KjMoUupsLT4Px67dYMrwjw==" spinCount="100000" sheet="1" objects="1" scenarios="1"/>
  <mergeCells count="16">
    <mergeCell ref="B8:B9"/>
    <mergeCell ref="C5:C6"/>
    <mergeCell ref="A5:A11"/>
    <mergeCell ref="A1:I2"/>
    <mergeCell ref="B5:B6"/>
    <mergeCell ref="K33:K34"/>
    <mergeCell ref="M33:M34"/>
    <mergeCell ref="K30:L31"/>
    <mergeCell ref="H30:I31"/>
    <mergeCell ref="E30:F31"/>
    <mergeCell ref="B30:C31"/>
    <mergeCell ref="F27:H28"/>
    <mergeCell ref="I13:L13"/>
    <mergeCell ref="I15:I16"/>
    <mergeCell ref="I20:I21"/>
    <mergeCell ref="I23:I24"/>
  </mergeCells>
  <phoneticPr fontId="5" type="noConversion"/>
  <conditionalFormatting sqref="A1:U13 A16:H16 J16:N16 A17:N24 O16:O24 A14:O15 Q14:U24 P15:P24 A25:U25 A34:U45 A26:N33">
    <cfRule type="containsBlanks" dxfId="100" priority="10">
      <formula>LEN(TRIM(A1))=0</formula>
    </cfRule>
  </conditionalFormatting>
  <conditionalFormatting sqref="P14">
    <cfRule type="containsBlanks" dxfId="99" priority="9">
      <formula>LEN(TRIM(P14))=0</formula>
    </cfRule>
  </conditionalFormatting>
  <conditionalFormatting sqref="D42:K42">
    <cfRule type="containsBlanks" dxfId="98" priority="2">
      <formula>LEN(TRIM(D42))=0</formula>
    </cfRule>
  </conditionalFormatting>
  <conditionalFormatting sqref="C39:C40">
    <cfRule type="containsBlanks" dxfId="97" priority="8">
      <formula>LEN(TRIM(C39))=0</formula>
    </cfRule>
  </conditionalFormatting>
  <conditionalFormatting sqref="C39:C40">
    <cfRule type="cellIs" dxfId="96" priority="7" operator="equal">
      <formula>0</formula>
    </cfRule>
  </conditionalFormatting>
  <conditionalFormatting sqref="C42 D43:K44">
    <cfRule type="containsBlanks" dxfId="95" priority="6">
      <formula>LEN(TRIM(C42))=0</formula>
    </cfRule>
  </conditionalFormatting>
  <conditionalFormatting sqref="C43:C44">
    <cfRule type="containsBlanks" dxfId="94" priority="5">
      <formula>LEN(TRIM(C43))=0</formula>
    </cfRule>
  </conditionalFormatting>
  <conditionalFormatting sqref="C43:C44">
    <cfRule type="cellIs" dxfId="93" priority="4" operator="equal">
      <formula>0</formula>
    </cfRule>
  </conditionalFormatting>
  <conditionalFormatting sqref="O26:U33">
    <cfRule type="containsBlanks" dxfId="92" priority="1">
      <formula>LEN(TRIM(O26))=0</formula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856C-45A4-4DF2-8CC6-6A3A25F8188D}">
  <sheetPr>
    <tabColor theme="8" tint="-0.249977111117893"/>
  </sheetPr>
  <dimension ref="A1:BO1078"/>
  <sheetViews>
    <sheetView rightToLeft="1" zoomScale="85" zoomScaleNormal="85" workbookViewId="0">
      <selection activeCell="C41" sqref="C41"/>
    </sheetView>
  </sheetViews>
  <sheetFormatPr defaultRowHeight="14.25" x14ac:dyDescent="0.2"/>
  <cols>
    <col min="3" max="3" width="5.375" customWidth="1"/>
    <col min="4" max="4" width="10.25" customWidth="1"/>
    <col min="5" max="5" width="10.375" customWidth="1"/>
    <col min="9" max="9" width="11.75" customWidth="1"/>
    <col min="14" max="14" width="10.875" customWidth="1"/>
    <col min="15" max="15" width="10.625" customWidth="1"/>
    <col min="16" max="16" width="11.375" customWidth="1"/>
    <col min="20" max="20" width="255.625" customWidth="1"/>
  </cols>
  <sheetData>
    <row r="1" spans="1:6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1:67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ht="15" x14ac:dyDescent="0.25">
      <c r="A7" s="87" t="s">
        <v>4</v>
      </c>
      <c r="B7" s="88"/>
      <c r="C7" s="88"/>
      <c r="D7" s="88"/>
      <c r="E7" s="88"/>
      <c r="F7" s="88"/>
      <c r="G7" s="88"/>
      <c r="H7" s="89"/>
      <c r="I7" s="99" t="s">
        <v>43</v>
      </c>
      <c r="J7" s="99"/>
      <c r="K7" s="99"/>
      <c r="L7" s="1"/>
      <c r="M7" s="2" t="s">
        <v>20</v>
      </c>
      <c r="N7" s="3" t="s">
        <v>27</v>
      </c>
      <c r="O7" s="3" t="s">
        <v>28</v>
      </c>
      <c r="P7" s="3" t="s">
        <v>29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4" t="s">
        <v>4</v>
      </c>
      <c r="N8" s="5" t="s">
        <v>30</v>
      </c>
      <c r="O8" s="5">
        <v>1</v>
      </c>
      <c r="P8" s="5">
        <v>50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15" x14ac:dyDescent="0.25">
      <c r="A9" s="102"/>
      <c r="B9" s="16" t="s">
        <v>37</v>
      </c>
      <c r="C9" s="16"/>
      <c r="D9" s="16">
        <f>SUM(data!D8:D9)</f>
        <v>669</v>
      </c>
      <c r="E9" s="16">
        <f>SUM(data!E8:E9)</f>
        <v>692</v>
      </c>
      <c r="F9" s="16">
        <f>SUM(data!F8:F9)</f>
        <v>715</v>
      </c>
      <c r="G9" s="16">
        <f>SUM(data!G8:G9)</f>
        <v>712</v>
      </c>
      <c r="H9" s="16">
        <f>SUM(data!H8:H9)</f>
        <v>1009</v>
      </c>
      <c r="I9" s="16">
        <f>SUM(data!I8:I9)</f>
        <v>1114</v>
      </c>
      <c r="J9" s="16">
        <f>SUM(data!J8:J9)</f>
        <v>781</v>
      </c>
      <c r="K9" s="16">
        <f>SUM(data!K8:K9)</f>
        <v>538</v>
      </c>
      <c r="L9" s="1"/>
      <c r="M9" s="6" t="s">
        <v>21</v>
      </c>
      <c r="N9" s="5">
        <v>1</v>
      </c>
      <c r="O9" s="5">
        <v>2</v>
      </c>
      <c r="P9" s="5">
        <v>60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15" x14ac:dyDescent="0.25">
      <c r="A10" s="102"/>
      <c r="B10" s="38" t="s">
        <v>38</v>
      </c>
      <c r="C10" s="15"/>
      <c r="D10" s="15">
        <v>619</v>
      </c>
      <c r="E10" s="15"/>
      <c r="F10" s="15"/>
      <c r="G10" s="15"/>
      <c r="H10" s="15"/>
      <c r="I10" s="15"/>
      <c r="J10" s="15"/>
      <c r="K10" s="15"/>
      <c r="L10" s="1"/>
      <c r="M10" s="7" t="s">
        <v>22</v>
      </c>
      <c r="N10" s="5">
        <v>1</v>
      </c>
      <c r="O10" s="5">
        <v>2</v>
      </c>
      <c r="P10" s="5">
        <v>40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ht="15" x14ac:dyDescent="0.25">
      <c r="A11" s="102"/>
      <c r="B11" s="15" t="s">
        <v>5</v>
      </c>
      <c r="C11" s="15">
        <v>50</v>
      </c>
      <c r="D11" s="15">
        <f>C11+D10-D9+D13</f>
        <v>0</v>
      </c>
      <c r="E11" s="15">
        <f t="shared" ref="E11:G11" si="0">D11+E10-E9+E13</f>
        <v>0</v>
      </c>
      <c r="F11" s="15">
        <f t="shared" si="0"/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7" t="s">
        <v>23</v>
      </c>
      <c r="N11" s="5">
        <v>1</v>
      </c>
      <c r="O11" s="5">
        <v>1</v>
      </c>
      <c r="P11" s="5">
        <v>30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 t="shared" si="4"/>
        <v>692</v>
      </c>
      <c r="F12" s="15">
        <f t="shared" si="4"/>
        <v>715</v>
      </c>
      <c r="G12" s="15">
        <f t="shared" si="4"/>
        <v>712</v>
      </c>
      <c r="H12" s="15">
        <f t="shared" si="4"/>
        <v>1009</v>
      </c>
      <c r="I12" s="15">
        <f t="shared" si="4"/>
        <v>1114</v>
      </c>
      <c r="J12" s="15">
        <f t="shared" si="4"/>
        <v>781</v>
      </c>
      <c r="K12" s="15">
        <f t="shared" si="4"/>
        <v>538</v>
      </c>
      <c r="L12" s="1"/>
      <c r="M12" s="6" t="s">
        <v>24</v>
      </c>
      <c r="N12" s="5">
        <v>1</v>
      </c>
      <c r="O12" s="5">
        <v>2</v>
      </c>
      <c r="P12" s="5">
        <v>60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5" x14ac:dyDescent="0.25">
      <c r="A13" s="102"/>
      <c r="B13" s="38" t="s">
        <v>40</v>
      </c>
      <c r="C13" s="15"/>
      <c r="D13" s="15"/>
      <c r="E13" s="15">
        <v>692</v>
      </c>
      <c r="F13" s="15">
        <v>715</v>
      </c>
      <c r="G13" s="15">
        <v>712</v>
      </c>
      <c r="H13" s="15">
        <v>1009</v>
      </c>
      <c r="I13" s="15">
        <v>1114</v>
      </c>
      <c r="J13" s="15">
        <v>781</v>
      </c>
      <c r="K13" s="15">
        <v>538</v>
      </c>
      <c r="L13" s="1"/>
      <c r="M13" s="6" t="s">
        <v>25</v>
      </c>
      <c r="N13" s="5">
        <v>2</v>
      </c>
      <c r="O13" s="5">
        <v>3</v>
      </c>
      <c r="P13" s="5">
        <v>80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5" x14ac:dyDescent="0.25">
      <c r="A14" s="103"/>
      <c r="B14" s="16" t="s">
        <v>41</v>
      </c>
      <c r="C14" s="16"/>
      <c r="D14" s="16">
        <v>692</v>
      </c>
      <c r="E14" s="16">
        <v>715</v>
      </c>
      <c r="F14" s="16">
        <v>712</v>
      </c>
      <c r="G14" s="16">
        <v>1009</v>
      </c>
      <c r="H14" s="16">
        <v>1114</v>
      </c>
      <c r="I14" s="16">
        <v>781</v>
      </c>
      <c r="J14" s="16">
        <v>538</v>
      </c>
      <c r="K14" s="16"/>
      <c r="L14" s="1"/>
      <c r="M14" s="6" t="s">
        <v>26</v>
      </c>
      <c r="N14" s="5">
        <v>2</v>
      </c>
      <c r="O14" s="5">
        <v>2</v>
      </c>
      <c r="P14" s="5">
        <v>70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ht="18.75" x14ac:dyDescent="0.2">
      <c r="A15" s="100" t="s">
        <v>42</v>
      </c>
      <c r="B15" s="100"/>
      <c r="C15" s="100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ht="18.75" x14ac:dyDescent="0.2">
      <c r="A16" s="100" t="s">
        <v>44</v>
      </c>
      <c r="B16" s="100"/>
      <c r="C16" s="100"/>
      <c r="D16" s="90">
        <f>COUNTIF(D13:K13,"&gt;0")+COUNTIF(D10:K10,"&gt;0")</f>
        <v>8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8.75" x14ac:dyDescent="0.2">
      <c r="A17" s="100" t="s">
        <v>12</v>
      </c>
      <c r="B17" s="100"/>
      <c r="C17" s="100"/>
      <c r="D17" s="93">
        <f>D16*$E$4</f>
        <v>37600000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8.75" x14ac:dyDescent="0.2">
      <c r="A18" s="100" t="s">
        <v>45</v>
      </c>
      <c r="B18" s="100"/>
      <c r="C18" s="100"/>
      <c r="D18" s="96">
        <f>SUM(D15:K15)+D17</f>
        <v>37600000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x14ac:dyDescent="0.2">
      <c r="A22" s="87" t="s">
        <v>4</v>
      </c>
      <c r="B22" s="88"/>
      <c r="C22" s="88"/>
      <c r="D22" s="88"/>
      <c r="E22" s="88"/>
      <c r="F22" s="88"/>
      <c r="G22" s="88"/>
      <c r="H22" s="89"/>
      <c r="I22" s="99" t="s">
        <v>50</v>
      </c>
      <c r="J22" s="99"/>
      <c r="K22" s="99"/>
      <c r="L22" s="1"/>
      <c r="M22" s="1"/>
      <c r="N22" s="1"/>
      <c r="O22" s="104" t="s">
        <v>51</v>
      </c>
      <c r="P22" s="104">
        <f>MIN(D18,D33)</f>
        <v>37600000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8.75" x14ac:dyDescent="0.2">
      <c r="A23" s="111" t="s">
        <v>49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15" x14ac:dyDescent="0.25">
      <c r="A24" s="102"/>
      <c r="B24" s="16" t="s">
        <v>37</v>
      </c>
      <c r="C24" s="16"/>
      <c r="D24" s="39">
        <f>SUM(data!D8:D9)</f>
        <v>669</v>
      </c>
      <c r="E24" s="39">
        <f>SUM(data!E8:E9)</f>
        <v>692</v>
      </c>
      <c r="F24" s="39">
        <f>SUM(data!F8:F9)</f>
        <v>715</v>
      </c>
      <c r="G24" s="39">
        <f>SUM(data!G8:G9)</f>
        <v>712</v>
      </c>
      <c r="H24" s="39">
        <f>SUM(data!H8:H9)</f>
        <v>1009</v>
      </c>
      <c r="I24" s="39">
        <f>SUM(data!I8:I9)</f>
        <v>1114</v>
      </c>
      <c r="J24" s="39">
        <f>SUM(data!J8:J9)</f>
        <v>781</v>
      </c>
      <c r="K24" s="39">
        <f>SUM(data!K8:K9)</f>
        <v>538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x14ac:dyDescent="0.2">
      <c r="A25" s="102"/>
      <c r="B25" s="38" t="s">
        <v>38</v>
      </c>
      <c r="C25" s="15"/>
      <c r="D25" s="19">
        <v>2100</v>
      </c>
      <c r="E25" s="19"/>
      <c r="F25" s="19"/>
      <c r="G25" s="19"/>
      <c r="H25" s="19"/>
      <c r="I25" s="19"/>
      <c r="J25" s="19"/>
      <c r="K25" s="19"/>
      <c r="L25" s="1"/>
      <c r="M25" s="1"/>
      <c r="N25" s="1"/>
      <c r="O25" s="107" t="s">
        <v>35</v>
      </c>
      <c r="P25" s="10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x14ac:dyDescent="0.2">
      <c r="A26" s="102"/>
      <c r="B26" s="15" t="s">
        <v>5</v>
      </c>
      <c r="C26" s="15">
        <v>50</v>
      </c>
      <c r="D26" s="19">
        <f>D25-D24+C26+D28</f>
        <v>1481</v>
      </c>
      <c r="E26" s="19">
        <f t="shared" ref="E26:K26" si="7">E25-E24+D26+E28</f>
        <v>789</v>
      </c>
      <c r="F26" s="19">
        <f t="shared" si="7"/>
        <v>74</v>
      </c>
      <c r="G26" s="19">
        <f t="shared" si="7"/>
        <v>1462</v>
      </c>
      <c r="H26" s="19">
        <f>H25-H24+G26+H28</f>
        <v>453</v>
      </c>
      <c r="I26" s="19">
        <f t="shared" si="7"/>
        <v>1439</v>
      </c>
      <c r="J26" s="19">
        <f t="shared" si="7"/>
        <v>658</v>
      </c>
      <c r="K26" s="19">
        <f t="shared" si="7"/>
        <v>120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x14ac:dyDescent="0.2">
      <c r="A27" s="102"/>
      <c r="B27" s="15" t="s">
        <v>39</v>
      </c>
      <c r="C27" s="15"/>
      <c r="D27" s="15">
        <f t="shared" ref="D27:K27" si="8">MAX(0,-(C26+D25-D24))</f>
        <v>0</v>
      </c>
      <c r="E27" s="15">
        <f t="shared" si="8"/>
        <v>0</v>
      </c>
      <c r="F27" s="15">
        <f t="shared" si="8"/>
        <v>0</v>
      </c>
      <c r="G27" s="15">
        <f t="shared" si="8"/>
        <v>638</v>
      </c>
      <c r="H27" s="15">
        <f t="shared" si="8"/>
        <v>0</v>
      </c>
      <c r="I27" s="15">
        <f t="shared" si="8"/>
        <v>661</v>
      </c>
      <c r="J27" s="15">
        <f t="shared" si="8"/>
        <v>0</v>
      </c>
      <c r="K27" s="15">
        <f t="shared" si="8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x14ac:dyDescent="0.2">
      <c r="A28" s="102"/>
      <c r="B28" s="38" t="s">
        <v>40</v>
      </c>
      <c r="C28" s="15"/>
      <c r="D28" s="19"/>
      <c r="E28" s="19"/>
      <c r="F28" s="19"/>
      <c r="G28" s="19">
        <v>2100</v>
      </c>
      <c r="H28" s="19"/>
      <c r="I28" s="19">
        <v>2100</v>
      </c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15" x14ac:dyDescent="0.25">
      <c r="A29" s="103"/>
      <c r="B29" s="16" t="s">
        <v>41</v>
      </c>
      <c r="C29" s="16"/>
      <c r="D29" s="39"/>
      <c r="E29" s="39"/>
      <c r="F29" s="39">
        <v>2100</v>
      </c>
      <c r="G29" s="39"/>
      <c r="H29" s="39">
        <v>2100</v>
      </c>
      <c r="I29" s="39"/>
      <c r="J29" s="39"/>
      <c r="K29" s="3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18.75" x14ac:dyDescent="0.2">
      <c r="A30" s="100" t="s">
        <v>42</v>
      </c>
      <c r="B30" s="100"/>
      <c r="C30" s="100"/>
      <c r="D30" s="19">
        <f>D26*$E$2</f>
        <v>23696000</v>
      </c>
      <c r="E30" s="19">
        <f t="shared" ref="E30:K30" si="9">E26*$E$2</f>
        <v>12624000</v>
      </c>
      <c r="F30" s="19">
        <f t="shared" si="9"/>
        <v>1184000</v>
      </c>
      <c r="G30" s="19">
        <f t="shared" si="9"/>
        <v>23392000</v>
      </c>
      <c r="H30" s="19">
        <f t="shared" si="9"/>
        <v>7248000</v>
      </c>
      <c r="I30" s="19">
        <f t="shared" si="9"/>
        <v>23024000</v>
      </c>
      <c r="J30" s="19">
        <f t="shared" si="9"/>
        <v>10528000</v>
      </c>
      <c r="K30" s="19">
        <f t="shared" si="9"/>
        <v>1920000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18.75" x14ac:dyDescent="0.2">
      <c r="A31" s="100" t="s">
        <v>44</v>
      </c>
      <c r="B31" s="100"/>
      <c r="C31" s="100"/>
      <c r="D31" s="90">
        <f>COUNTIF(D28:K28,"&gt;0")+COUNTIF(D25:K25,"&gt;0")</f>
        <v>3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18.75" x14ac:dyDescent="0.2">
      <c r="A32" s="100" t="s">
        <v>12</v>
      </c>
      <c r="B32" s="100"/>
      <c r="C32" s="100"/>
      <c r="D32" s="93">
        <f>D31*$E$4</f>
        <v>14100000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ht="18.75" x14ac:dyDescent="0.2">
      <c r="A33" s="100" t="s">
        <v>45</v>
      </c>
      <c r="B33" s="100"/>
      <c r="C33" s="100"/>
      <c r="D33" s="108">
        <f>SUM(D30:K30)+D32</f>
        <v>117716000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1:6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1:6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1:6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1:6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1:6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1:6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1:6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1:6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1:6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1:6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spans="1:6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spans="1:6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spans="1:6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spans="1:6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spans="1:6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spans="1:6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1:6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spans="1:6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6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7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spans="1:67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spans="1:67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spans="1:67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spans="1:67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spans="1:67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spans="1:67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spans="1:67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spans="1:67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spans="1:67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spans="1:67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</row>
    <row r="337" spans="1:67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spans="1:67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spans="1:67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spans="1:67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spans="1:67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spans="1:67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spans="1:67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spans="1:67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spans="1:67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spans="1:67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1:67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spans="1:67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spans="1:67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spans="1:67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spans="1:67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spans="1:67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spans="1:67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spans="1:67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spans="1:67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spans="1:67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spans="1:67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spans="1:67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spans="1:67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spans="1:67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spans="1:67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spans="1:67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spans="1:67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spans="1:67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spans="1:67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spans="1:67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spans="1:67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spans="1:67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spans="1:67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</row>
    <row r="374" spans="1:67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spans="1:67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spans="1:67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spans="1:67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spans="1:67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spans="1:67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spans="1:67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spans="1:67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spans="1:67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spans="1:67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1:67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1:67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1:67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1:67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1:67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1:67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1:67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1:67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1:67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1:67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1:67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1:67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spans="1:67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spans="1:67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spans="1:67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1:67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spans="1:67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spans="1:67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1:67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spans="1:67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1:67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spans="1:67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spans="1:67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spans="1:67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1:67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spans="1:6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spans="1:67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spans="1:67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spans="1:67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spans="1:67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spans="1:67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spans="1:67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1:67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1:67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1:67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1:67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1:67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1:67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1:67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1:67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1:67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1:67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1:67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1:67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1:67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1:67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1:67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1:67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1:67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1:67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1:67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1:67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1:67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1:67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1:67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1:67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1:67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1:67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1:67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1:67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1:67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1:67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1:67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1:67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1:67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1:67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1:67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1:67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1:67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1:67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1:67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1:67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1:67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1:67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1:67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1:67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1:67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1:67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1:67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1:67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1:67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1:67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1:67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1:67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1:67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1:67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1:6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1:67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1:67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1:67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1:67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1:67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1:67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1:67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1:67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1:67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1:67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1:67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1:67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1:67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1:67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1:67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1:67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1:67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1:67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1:67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1:67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spans="1:67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spans="1:67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spans="1:67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spans="1:67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spans="1:67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spans="1:67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spans="1:67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spans="1:67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spans="1:67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spans="1:67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spans="1:67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spans="1:67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spans="1:67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spans="1:67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spans="1:67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spans="1:67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1:67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1:6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1:67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1:67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1:67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1:67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1:67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1:67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1:67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1:67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1:67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1:67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1:67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1:67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1:67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1:67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1:67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1:67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1:67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spans="1:67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</row>
    <row r="552" spans="1:67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</row>
    <row r="553" spans="1:67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</row>
    <row r="554" spans="1:67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</row>
    <row r="555" spans="1:67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</row>
    <row r="556" spans="1:67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</row>
    <row r="557" spans="1:67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</row>
    <row r="558" spans="1:67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</row>
    <row r="559" spans="1:67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</row>
    <row r="560" spans="1:67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</row>
    <row r="561" spans="1:67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</row>
    <row r="562" spans="1:67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</row>
    <row r="563" spans="1:67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</row>
    <row r="564" spans="1:67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</row>
    <row r="565" spans="1:67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</row>
    <row r="566" spans="1:67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</row>
    <row r="567" spans="1:67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</row>
    <row r="568" spans="1:67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</row>
    <row r="569" spans="1:67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</row>
    <row r="570" spans="1:67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</row>
    <row r="571" spans="1:67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</row>
    <row r="572" spans="1:67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</row>
    <row r="573" spans="1:67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</row>
    <row r="574" spans="1:67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</row>
    <row r="575" spans="1:67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</row>
    <row r="576" spans="1:67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spans="1:67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</row>
    <row r="578" spans="1:67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</row>
    <row r="579" spans="1:67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</row>
    <row r="580" spans="1:67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</row>
    <row r="581" spans="1:67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</row>
    <row r="582" spans="1:67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</row>
    <row r="583" spans="1:67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</row>
    <row r="584" spans="1:67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</row>
    <row r="585" spans="1:67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</row>
    <row r="586" spans="1:67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</row>
    <row r="587" spans="1:67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</row>
    <row r="588" spans="1:67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</row>
    <row r="589" spans="1:67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</row>
    <row r="590" spans="1:67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</row>
    <row r="591" spans="1:67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</row>
    <row r="592" spans="1:67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</row>
    <row r="593" spans="1:67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</row>
    <row r="594" spans="1:67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</row>
    <row r="595" spans="1:67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</row>
    <row r="596" spans="1:67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</row>
    <row r="597" spans="1:67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</row>
    <row r="598" spans="1:67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</row>
    <row r="599" spans="1:67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</row>
    <row r="600" spans="1:67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</row>
    <row r="601" spans="1:67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</row>
    <row r="602" spans="1:67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</row>
    <row r="603" spans="1:67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</row>
    <row r="604" spans="1:67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</row>
    <row r="605" spans="1:67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</row>
    <row r="606" spans="1:67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</row>
    <row r="607" spans="1:67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</row>
    <row r="608" spans="1:67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</row>
    <row r="609" spans="1:67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</row>
    <row r="610" spans="1:67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</row>
    <row r="611" spans="1:67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</row>
    <row r="612" spans="1:67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</row>
    <row r="613" spans="1:67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</row>
    <row r="614" spans="1:67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spans="1:67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</row>
    <row r="616" spans="1:67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</row>
    <row r="617" spans="1:67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</row>
    <row r="618" spans="1:67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</row>
    <row r="619" spans="1:67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</row>
    <row r="620" spans="1:67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</row>
    <row r="621" spans="1:67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</row>
    <row r="622" spans="1:67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</row>
    <row r="623" spans="1:67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</row>
    <row r="624" spans="1:67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</row>
    <row r="625" spans="1:67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</row>
    <row r="626" spans="1:67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</row>
    <row r="627" spans="1:67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</row>
    <row r="628" spans="1:67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</row>
    <row r="629" spans="1:67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</row>
    <row r="630" spans="1:67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</row>
    <row r="631" spans="1:67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</row>
    <row r="632" spans="1:67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</row>
    <row r="633" spans="1:67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</row>
    <row r="634" spans="1:67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</row>
    <row r="635" spans="1:67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</row>
    <row r="636" spans="1:67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</row>
    <row r="637" spans="1:67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</row>
    <row r="638" spans="1:67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</row>
    <row r="639" spans="1:67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</row>
    <row r="640" spans="1:67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</row>
    <row r="641" spans="1:67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</row>
    <row r="642" spans="1:67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</row>
    <row r="643" spans="1:67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</row>
    <row r="644" spans="1:67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</row>
    <row r="645" spans="1:67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</row>
    <row r="646" spans="1:67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</row>
    <row r="647" spans="1:67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</row>
    <row r="648" spans="1:67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</row>
    <row r="649" spans="1:67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</row>
    <row r="650" spans="1:67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</row>
    <row r="651" spans="1:67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</row>
    <row r="652" spans="1:67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</row>
    <row r="653" spans="1:67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</row>
    <row r="654" spans="1:67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</row>
    <row r="655" spans="1:67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</row>
    <row r="656" spans="1:67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</row>
    <row r="657" spans="1:67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</row>
    <row r="658" spans="1:67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</row>
    <row r="659" spans="1:67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</row>
    <row r="660" spans="1:67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</row>
    <row r="661" spans="1:67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</row>
    <row r="662" spans="1:67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</row>
    <row r="663" spans="1:67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spans="1:67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spans="1:67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spans="1:67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spans="1:67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spans="1:67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spans="1:67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spans="1:67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spans="1:67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spans="1:67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spans="1:67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spans="1:67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spans="1:67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1:67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1:67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spans="1:67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spans="1:67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</row>
    <row r="680" spans="1:67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</row>
    <row r="681" spans="1:67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</row>
    <row r="682" spans="1:67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</row>
    <row r="683" spans="1:67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</row>
    <row r="684" spans="1:67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</row>
    <row r="685" spans="1:67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spans="1:67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</row>
    <row r="687" spans="1:67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</row>
    <row r="688" spans="1:67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</row>
    <row r="689" spans="1:67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</row>
    <row r="690" spans="1:67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spans="1:67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</row>
    <row r="692" spans="1:67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</row>
    <row r="693" spans="1:67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</row>
    <row r="694" spans="1:67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</row>
    <row r="695" spans="1:67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</row>
    <row r="696" spans="1:67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</row>
    <row r="697" spans="1:67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</row>
    <row r="698" spans="1:67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</row>
    <row r="699" spans="1:67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</row>
    <row r="700" spans="1:67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</row>
    <row r="701" spans="1:67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</row>
    <row r="702" spans="1:67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</row>
    <row r="703" spans="1:67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</row>
    <row r="704" spans="1:67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</row>
    <row r="705" spans="1:67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</row>
    <row r="706" spans="1:67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</row>
    <row r="707" spans="1:67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</row>
    <row r="708" spans="1:67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</row>
    <row r="709" spans="1:67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</row>
    <row r="710" spans="1:67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</row>
    <row r="711" spans="1:67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</row>
    <row r="712" spans="1:67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</row>
    <row r="713" spans="1:67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</row>
    <row r="714" spans="1:67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</row>
    <row r="715" spans="1:67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</row>
    <row r="716" spans="1:67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</row>
    <row r="717" spans="1:67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</row>
    <row r="718" spans="1:67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</row>
    <row r="719" spans="1:67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</row>
    <row r="720" spans="1:67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</row>
    <row r="721" spans="1:67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</row>
    <row r="722" spans="1:67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</row>
    <row r="723" spans="1:67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</row>
    <row r="724" spans="1:67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</row>
    <row r="725" spans="1:67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</row>
    <row r="726" spans="1:67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spans="1:67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</row>
    <row r="728" spans="1:67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</row>
    <row r="729" spans="1:67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</row>
    <row r="730" spans="1:67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</row>
    <row r="731" spans="1:67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</row>
    <row r="732" spans="1:67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</row>
    <row r="733" spans="1:67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</row>
    <row r="734" spans="1:67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</row>
    <row r="735" spans="1:67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</row>
    <row r="736" spans="1:67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</row>
    <row r="737" spans="1:67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</row>
    <row r="738" spans="1:67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</row>
    <row r="739" spans="1:67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</row>
    <row r="740" spans="1:67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</row>
    <row r="741" spans="1:67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</row>
    <row r="742" spans="1:67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</row>
    <row r="743" spans="1:67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</row>
    <row r="744" spans="1:67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</row>
    <row r="745" spans="1:67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</row>
    <row r="746" spans="1:67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</row>
    <row r="747" spans="1:67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</row>
    <row r="748" spans="1:67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</row>
    <row r="749" spans="1:67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</row>
    <row r="750" spans="1:67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</row>
    <row r="751" spans="1:67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</row>
    <row r="752" spans="1:67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</row>
    <row r="753" spans="1:67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</row>
    <row r="754" spans="1:67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</row>
    <row r="755" spans="1:67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</row>
    <row r="756" spans="1:67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</row>
    <row r="757" spans="1:67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</row>
    <row r="758" spans="1:67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spans="1:67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1:67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spans="1:67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spans="1:67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spans="1:67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spans="1:67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  <row r="765" spans="1:67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</row>
    <row r="766" spans="1:67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</row>
    <row r="767" spans="1:67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</row>
    <row r="768" spans="1:67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</row>
    <row r="769" spans="1:67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</row>
    <row r="770" spans="1:67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</row>
    <row r="771" spans="1:67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</row>
    <row r="772" spans="1:67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</row>
    <row r="773" spans="1:67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</row>
    <row r="774" spans="1:67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</row>
    <row r="775" spans="1:67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</row>
    <row r="776" spans="1:67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</row>
    <row r="777" spans="1:67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spans="1:67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</row>
    <row r="779" spans="1:67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</row>
    <row r="780" spans="1:67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</row>
    <row r="781" spans="1:67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</row>
    <row r="782" spans="1:67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</row>
    <row r="783" spans="1:67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</row>
    <row r="784" spans="1:67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</row>
    <row r="785" spans="1:67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</row>
    <row r="786" spans="1:67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</row>
    <row r="787" spans="1:67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</row>
    <row r="788" spans="1:67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</row>
    <row r="789" spans="1:67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</row>
    <row r="790" spans="1:67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</row>
    <row r="791" spans="1:67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spans="1:67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</row>
    <row r="793" spans="1:67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</row>
    <row r="794" spans="1:67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</row>
    <row r="795" spans="1:67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</row>
    <row r="796" spans="1:67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</row>
    <row r="797" spans="1:67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</row>
    <row r="798" spans="1:67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</row>
    <row r="799" spans="1:67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</row>
    <row r="800" spans="1:67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</row>
    <row r="801" spans="1:67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</row>
    <row r="802" spans="1:67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</row>
    <row r="803" spans="1:67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</row>
    <row r="804" spans="1:67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</row>
    <row r="805" spans="1:67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</row>
    <row r="806" spans="1:67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</row>
    <row r="807" spans="1:67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</row>
    <row r="808" spans="1:67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</row>
    <row r="809" spans="1:67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</row>
    <row r="810" spans="1:67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</row>
    <row r="811" spans="1:67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</row>
    <row r="812" spans="1:67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spans="1:67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</row>
    <row r="814" spans="1:67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</row>
    <row r="815" spans="1:67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</row>
    <row r="816" spans="1:67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</row>
    <row r="817" spans="1:67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spans="1:67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</row>
    <row r="819" spans="1:67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</row>
    <row r="820" spans="1:67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</row>
    <row r="821" spans="1:67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</row>
    <row r="822" spans="1:67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</row>
    <row r="823" spans="1:67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</row>
    <row r="824" spans="1:67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</row>
    <row r="825" spans="1:67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</row>
    <row r="826" spans="1:67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</row>
    <row r="827" spans="1:67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</row>
    <row r="828" spans="1:67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</row>
    <row r="829" spans="1:67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</row>
    <row r="830" spans="1:67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</row>
    <row r="831" spans="1:67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</row>
    <row r="832" spans="1:67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</row>
    <row r="833" spans="1:67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</row>
    <row r="834" spans="1:67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</row>
    <row r="835" spans="1:67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</row>
    <row r="836" spans="1:67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</row>
    <row r="837" spans="1:67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</row>
    <row r="838" spans="1:67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</row>
    <row r="839" spans="1:67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spans="1:67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</row>
    <row r="841" spans="1:67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</row>
    <row r="842" spans="1:67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</row>
    <row r="843" spans="1:67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</row>
    <row r="844" spans="1:67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</row>
    <row r="845" spans="1:67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</row>
    <row r="846" spans="1:67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</row>
    <row r="847" spans="1:67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</row>
    <row r="848" spans="1:67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</row>
    <row r="849" spans="1:67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</row>
    <row r="850" spans="1:67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</row>
    <row r="851" spans="1:67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</row>
    <row r="852" spans="1:67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</row>
    <row r="853" spans="1:67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</row>
    <row r="854" spans="1:67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</row>
    <row r="855" spans="1:67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</row>
    <row r="856" spans="1:67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</row>
    <row r="857" spans="1:67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</row>
    <row r="858" spans="1:67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</row>
    <row r="859" spans="1:67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</row>
    <row r="860" spans="1:67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</row>
    <row r="861" spans="1:67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</row>
    <row r="862" spans="1:67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</row>
    <row r="863" spans="1:67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</row>
    <row r="864" spans="1:67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</row>
    <row r="865" spans="1:67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</row>
    <row r="866" spans="1:67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</row>
    <row r="867" spans="1:67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</row>
    <row r="868" spans="1:67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</row>
    <row r="869" spans="1:67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</row>
    <row r="870" spans="1:67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</row>
    <row r="871" spans="1:67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</row>
    <row r="872" spans="1:67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spans="1:67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</row>
    <row r="874" spans="1:67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</row>
    <row r="875" spans="1:67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</row>
    <row r="876" spans="1:67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spans="1:67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</row>
    <row r="878" spans="1:67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</row>
    <row r="879" spans="1:67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</row>
    <row r="880" spans="1:67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</row>
    <row r="881" spans="1:67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</row>
    <row r="882" spans="1:67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spans="1:67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</row>
    <row r="884" spans="1:67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</row>
    <row r="885" spans="1:67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</row>
    <row r="886" spans="1:67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</row>
    <row r="887" spans="1:67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</row>
    <row r="888" spans="1:67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</row>
    <row r="889" spans="1:67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</row>
    <row r="890" spans="1:67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</row>
    <row r="891" spans="1:67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</row>
    <row r="892" spans="1:67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</row>
    <row r="893" spans="1:67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</row>
    <row r="894" spans="1:67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</row>
    <row r="895" spans="1:67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</row>
    <row r="896" spans="1:67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</row>
    <row r="897" spans="1:67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</row>
    <row r="898" spans="1:67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</row>
    <row r="899" spans="1:67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</row>
    <row r="900" spans="1:67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</row>
    <row r="901" spans="1:67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</row>
    <row r="902" spans="1:67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</row>
    <row r="903" spans="1:67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</row>
    <row r="904" spans="1:67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</row>
    <row r="905" spans="1:67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</row>
    <row r="906" spans="1:67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</row>
    <row r="907" spans="1:67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</row>
    <row r="908" spans="1:67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</row>
    <row r="909" spans="1:67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</row>
    <row r="910" spans="1:67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</row>
    <row r="911" spans="1:67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</row>
    <row r="912" spans="1:67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</row>
    <row r="913" spans="1:67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</row>
    <row r="914" spans="1:67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</row>
    <row r="915" spans="1:67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</row>
    <row r="916" spans="1:67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</row>
    <row r="917" spans="1:67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</row>
    <row r="918" spans="1:67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</row>
    <row r="919" spans="1:67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</row>
    <row r="920" spans="1:67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</row>
    <row r="921" spans="1:67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</row>
    <row r="922" spans="1:67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</row>
    <row r="923" spans="1:67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</row>
    <row r="924" spans="1:67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</row>
    <row r="925" spans="1:67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</row>
    <row r="926" spans="1:67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</row>
    <row r="927" spans="1:67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</row>
    <row r="928" spans="1:67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</row>
    <row r="929" spans="1:67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</row>
    <row r="930" spans="1:67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</row>
    <row r="931" spans="1:67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</row>
    <row r="932" spans="1:67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</row>
    <row r="933" spans="1:67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</row>
    <row r="934" spans="1:67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</row>
    <row r="935" spans="1:67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</row>
    <row r="936" spans="1:67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</row>
    <row r="937" spans="1:67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</row>
    <row r="938" spans="1:67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</row>
    <row r="939" spans="1:67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</row>
    <row r="940" spans="1:67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</row>
    <row r="941" spans="1:67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</row>
    <row r="942" spans="1:67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</row>
    <row r="943" spans="1:67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</row>
    <row r="944" spans="1:67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</row>
    <row r="945" spans="1:67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</row>
    <row r="946" spans="1:67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</row>
    <row r="947" spans="1:67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</row>
    <row r="948" spans="1:67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</row>
    <row r="949" spans="1:67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</row>
    <row r="950" spans="1:67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</row>
    <row r="951" spans="1:67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</row>
    <row r="952" spans="1:67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</row>
    <row r="953" spans="1:67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</row>
    <row r="954" spans="1:67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</row>
    <row r="955" spans="1:67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</row>
    <row r="956" spans="1:67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</row>
    <row r="957" spans="1:67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</row>
    <row r="958" spans="1:67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</row>
    <row r="959" spans="1:67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</row>
    <row r="960" spans="1:67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</row>
    <row r="961" spans="1:67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</row>
    <row r="962" spans="1:67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</row>
    <row r="963" spans="1:67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</row>
    <row r="964" spans="1:67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</row>
    <row r="965" spans="1:67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</row>
    <row r="966" spans="1:67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</row>
    <row r="967" spans="1:67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spans="1:67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</row>
    <row r="969" spans="1:67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</row>
    <row r="970" spans="1:67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</row>
    <row r="971" spans="1:67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</row>
    <row r="972" spans="1:67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</row>
    <row r="973" spans="1:67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</row>
    <row r="974" spans="1:67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</row>
    <row r="975" spans="1:67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</row>
    <row r="976" spans="1:67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</row>
    <row r="977" spans="1:67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</row>
    <row r="978" spans="1:67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</row>
    <row r="979" spans="1:67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</row>
    <row r="980" spans="1:67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</row>
    <row r="981" spans="1:67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</row>
    <row r="982" spans="1:67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</row>
    <row r="983" spans="1:67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</row>
    <row r="984" spans="1:67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</row>
    <row r="985" spans="1:67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</row>
    <row r="986" spans="1:67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</row>
    <row r="987" spans="1:67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</row>
    <row r="988" spans="1:67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</row>
    <row r="989" spans="1:67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spans="1:67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</row>
    <row r="991" spans="1:67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</row>
    <row r="992" spans="1:67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spans="1:67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</row>
    <row r="994" spans="1:67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</row>
    <row r="995" spans="1:67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spans="1:67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</row>
    <row r="997" spans="1:67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</row>
    <row r="998" spans="1:67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</row>
    <row r="999" spans="1:67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</row>
    <row r="1000" spans="1:67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</row>
    <row r="1001" spans="1:67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</row>
    <row r="1002" spans="1:67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</row>
    <row r="1003" spans="1:67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</row>
    <row r="1004" spans="1:67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</row>
    <row r="1005" spans="1:67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</row>
    <row r="1006" spans="1:67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</row>
    <row r="1007" spans="1:67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</row>
    <row r="1008" spans="1:67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</row>
    <row r="1009" spans="1:67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</row>
    <row r="1010" spans="1:67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</row>
    <row r="1011" spans="1:67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</row>
    <row r="1012" spans="1:67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</row>
    <row r="1013" spans="1:67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</row>
    <row r="1014" spans="1:67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</row>
    <row r="1015" spans="1:67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</row>
    <row r="1016" spans="1:67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</row>
    <row r="1017" spans="1:67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</row>
    <row r="1018" spans="1:67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</row>
    <row r="1019" spans="1:67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</row>
    <row r="1020" spans="1:67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</row>
    <row r="1021" spans="1:67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</row>
    <row r="1022" spans="1:67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</row>
    <row r="1023" spans="1:67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</row>
    <row r="1024" spans="1:67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</row>
    <row r="1025" spans="1:67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</row>
    <row r="1026" spans="1:67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</row>
    <row r="1027" spans="1:67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</row>
    <row r="1028" spans="1:67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</row>
    <row r="1029" spans="1:67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</row>
    <row r="1030" spans="1:67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</row>
    <row r="1031" spans="1:67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</row>
    <row r="1032" spans="1:67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</row>
    <row r="1033" spans="1:67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</row>
    <row r="1034" spans="1:67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</row>
    <row r="1035" spans="1:67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</row>
    <row r="1036" spans="1:67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</row>
    <row r="1037" spans="1:67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</row>
    <row r="1038" spans="1:67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</row>
    <row r="1039" spans="1:67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</row>
    <row r="1040" spans="1:67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</row>
    <row r="1041" spans="1:67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</row>
    <row r="1042" spans="1:67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</row>
    <row r="1043" spans="1:67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</row>
    <row r="1044" spans="1:67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</row>
    <row r="1045" spans="1:67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</row>
    <row r="1046" spans="1:67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</row>
    <row r="1047" spans="1:67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</row>
    <row r="1048" spans="1:67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</row>
    <row r="1049" spans="1:67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</row>
    <row r="1050" spans="1:67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</row>
    <row r="1051" spans="1:67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</row>
    <row r="1052" spans="1:67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</row>
    <row r="1053" spans="1:67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</row>
    <row r="1054" spans="1:67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</row>
    <row r="1055" spans="1:67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</row>
    <row r="1056" spans="1:67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</row>
    <row r="1057" spans="1:67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</row>
    <row r="1058" spans="1:67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</row>
    <row r="1059" spans="1:67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</row>
    <row r="1060" spans="1:67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</row>
    <row r="1061" spans="1:67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</row>
    <row r="1062" spans="1:67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</row>
    <row r="1063" spans="1:67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</row>
    <row r="1064" spans="1:67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</row>
    <row r="1065" spans="1:67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</row>
    <row r="1066" spans="1:67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</row>
    <row r="1067" spans="1:67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</row>
    <row r="1068" spans="1:67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</row>
    <row r="1069" spans="1:67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</row>
    <row r="1070" spans="1:67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</row>
    <row r="1071" spans="1:67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</row>
    <row r="1072" spans="1:67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</row>
    <row r="1073" spans="1:67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</row>
    <row r="1074" spans="1:67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</row>
    <row r="1075" spans="1:67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</row>
    <row r="1076" spans="1:67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</row>
    <row r="1077" spans="1:67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</row>
    <row r="1078" spans="1:67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</row>
  </sheetData>
  <sheetProtection algorithmName="SHA-512" hashValue="4vdGveMMFdsaeYw1i69FG7IHP36WCXdMiWb9P8eqF+LAOOvGZA3kU/iFg+8QXd9VRBrN61MWTi88xCR+6zHxfg==" saltValue="tcxj1yr4NK19gIMEhGfjbw==" spinCount="100000" sheet="1" objects="1" scenarios="1"/>
  <mergeCells count="23">
    <mergeCell ref="P22:P24"/>
    <mergeCell ref="O25:P25"/>
    <mergeCell ref="A32:C32"/>
    <mergeCell ref="D32:K32"/>
    <mergeCell ref="A33:C33"/>
    <mergeCell ref="D33:K33"/>
    <mergeCell ref="O22:O24"/>
    <mergeCell ref="A22:H22"/>
    <mergeCell ref="I22:K22"/>
    <mergeCell ref="A23:A29"/>
    <mergeCell ref="A30:C30"/>
    <mergeCell ref="A31:C31"/>
    <mergeCell ref="D31:K31"/>
    <mergeCell ref="A7:H7"/>
    <mergeCell ref="D16:K16"/>
    <mergeCell ref="D17:K17"/>
    <mergeCell ref="D18:K18"/>
    <mergeCell ref="I7:K7"/>
    <mergeCell ref="A16:C16"/>
    <mergeCell ref="A17:C17"/>
    <mergeCell ref="A18:C18"/>
    <mergeCell ref="A8:A14"/>
    <mergeCell ref="A15:C15"/>
  </mergeCells>
  <phoneticPr fontId="5" type="noConversion"/>
  <conditionalFormatting sqref="A1:T11 A13:T17 A12:C12 L12:T12 A27:C27 L27:T27 A34:T42 A33:C33 L33:T33 A19:T26 A18:C18 L18:T18 A28:T32">
    <cfRule type="containsBlanks" dxfId="85" priority="7">
      <formula>LEN(TRIM(A1))=0</formula>
    </cfRule>
  </conditionalFormatting>
  <conditionalFormatting sqref="D12:K12">
    <cfRule type="containsBlanks" dxfId="84" priority="6">
      <formula>LEN(TRIM(D12))=0</formula>
    </cfRule>
  </conditionalFormatting>
  <conditionalFormatting sqref="D27:K27">
    <cfRule type="containsBlanks" dxfId="83" priority="5">
      <formula>LEN(TRIM(D27))=0</formula>
    </cfRule>
  </conditionalFormatting>
  <conditionalFormatting sqref="M17">
    <cfRule type="cellIs" dxfId="82" priority="4" operator="equal">
      <formula>0</formula>
    </cfRule>
  </conditionalFormatting>
  <conditionalFormatting sqref="A1:XFD17 A34:XFD1048576 A33:C33 L33:XFD33 A18:C18 L18:XFD18 A19:XFD32">
    <cfRule type="cellIs" dxfId="81" priority="3" operator="equal">
      <formula>0</formula>
    </cfRule>
  </conditionalFormatting>
  <conditionalFormatting sqref="D33:K33">
    <cfRule type="containsBlanks" dxfId="80" priority="2">
      <formula>LEN(TRIM(D33))=0</formula>
    </cfRule>
  </conditionalFormatting>
  <conditionalFormatting sqref="D18:K18">
    <cfRule type="containsBlanks" dxfId="79" priority="1">
      <formula>LEN(TRIM(D18))=0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DBB1-8E84-48C5-8BB0-F157433F10B4}">
  <sheetPr>
    <tabColor theme="7" tint="-0.249977111117893"/>
  </sheetPr>
  <dimension ref="A1:AQ112"/>
  <sheetViews>
    <sheetView rightToLeft="1" zoomScale="85" zoomScaleNormal="85" workbookViewId="0">
      <selection activeCell="D16" sqref="D16:K17"/>
    </sheetView>
  </sheetViews>
  <sheetFormatPr defaultRowHeight="14.25" x14ac:dyDescent="0.2"/>
  <cols>
    <col min="1" max="24" width="9" style="36"/>
    <col min="25" max="25" width="255.625" style="36" customWidth="1"/>
    <col min="26" max="16384" width="9" style="36"/>
  </cols>
  <sheetData>
    <row r="1" spans="1:43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 ht="15" x14ac:dyDescent="0.2">
      <c r="A2" s="35"/>
      <c r="B2" s="35"/>
      <c r="C2" s="35"/>
      <c r="D2" s="10" t="s">
        <v>10</v>
      </c>
      <c r="E2" s="10">
        <v>16000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ht="15" x14ac:dyDescent="0.2">
      <c r="A3" s="35"/>
      <c r="B3" s="35"/>
      <c r="C3" s="35"/>
      <c r="D3" s="10" t="s">
        <v>11</v>
      </c>
      <c r="E3" s="10">
        <v>255000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30" x14ac:dyDescent="0.2">
      <c r="A4" s="35"/>
      <c r="B4" s="35"/>
      <c r="C4" s="35"/>
      <c r="D4" s="17" t="s">
        <v>46</v>
      </c>
      <c r="E4" s="10">
        <v>4700000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</row>
    <row r="5" spans="1:43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ht="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" t="s">
        <v>20</v>
      </c>
      <c r="N6" s="7" t="s">
        <v>27</v>
      </c>
      <c r="O6" s="7" t="s">
        <v>28</v>
      </c>
      <c r="P6" s="7" t="s">
        <v>29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ht="15" x14ac:dyDescent="0.25">
      <c r="A7" s="87" t="s">
        <v>21</v>
      </c>
      <c r="B7" s="88"/>
      <c r="C7" s="89"/>
      <c r="D7" s="87" t="s">
        <v>47</v>
      </c>
      <c r="E7" s="88"/>
      <c r="F7" s="88"/>
      <c r="G7" s="88"/>
      <c r="H7" s="88"/>
      <c r="I7" s="88"/>
      <c r="J7" s="88"/>
      <c r="K7" s="89"/>
      <c r="L7" s="35"/>
      <c r="M7" s="21" t="s">
        <v>4</v>
      </c>
      <c r="N7" s="5" t="s">
        <v>30</v>
      </c>
      <c r="O7" s="5">
        <v>1</v>
      </c>
      <c r="P7" s="5">
        <v>50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</row>
    <row r="8" spans="1:43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35"/>
      <c r="M8" s="7" t="s">
        <v>21</v>
      </c>
      <c r="N8" s="5">
        <v>1</v>
      </c>
      <c r="O8" s="5">
        <v>2</v>
      </c>
      <c r="P8" s="5">
        <v>60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ht="15" x14ac:dyDescent="0.25">
      <c r="A9" s="102"/>
      <c r="B9" s="15" t="s">
        <v>37</v>
      </c>
      <c r="C9" s="15"/>
      <c r="D9" s="16">
        <f>Vulcan10!D14*Vulcan10!$N$9</f>
        <v>692</v>
      </c>
      <c r="E9" s="16">
        <f>Vulcan10!E14*Vulcan10!$N$9</f>
        <v>715</v>
      </c>
      <c r="F9" s="16">
        <f>Vulcan10!F14*Vulcan10!$N$9</f>
        <v>712</v>
      </c>
      <c r="G9" s="16">
        <f>Vulcan10!G14*Vulcan10!$N$9</f>
        <v>1009</v>
      </c>
      <c r="H9" s="16">
        <f>Vulcan10!H14*Vulcan10!$N$9</f>
        <v>1114</v>
      </c>
      <c r="I9" s="16">
        <f>Vulcan10!I14*Vulcan10!$N$9</f>
        <v>781</v>
      </c>
      <c r="J9" s="16">
        <f>Vulcan10!J14*Vulcan10!$N$9</f>
        <v>538</v>
      </c>
      <c r="K9" s="16">
        <f>Vulcan10!K14*Vulcan10!$N$9</f>
        <v>0</v>
      </c>
      <c r="L9" s="35"/>
      <c r="M9" s="7" t="s">
        <v>22</v>
      </c>
      <c r="N9" s="5">
        <v>1</v>
      </c>
      <c r="O9" s="5">
        <v>2</v>
      </c>
      <c r="P9" s="5">
        <v>40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</row>
    <row r="10" spans="1:43" ht="15" x14ac:dyDescent="0.25">
      <c r="A10" s="102"/>
      <c r="B10" s="38" t="s">
        <v>38</v>
      </c>
      <c r="C10" s="15"/>
      <c r="D10" s="15">
        <f>D9-C11</f>
        <v>632</v>
      </c>
      <c r="E10" s="15">
        <v>715</v>
      </c>
      <c r="F10" s="15"/>
      <c r="G10" s="15"/>
      <c r="H10" s="15"/>
      <c r="I10" s="15"/>
      <c r="J10" s="15"/>
      <c r="K10" s="15"/>
      <c r="L10" s="35"/>
      <c r="M10" s="7" t="s">
        <v>23</v>
      </c>
      <c r="N10" s="5">
        <v>1</v>
      </c>
      <c r="O10" s="5">
        <v>1</v>
      </c>
      <c r="P10" s="5">
        <v>30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  <row r="11" spans="1:43" ht="15" x14ac:dyDescent="0.25">
      <c r="A11" s="102"/>
      <c r="B11" s="15" t="s">
        <v>5</v>
      </c>
      <c r="C11" s="15">
        <f>$P$8</f>
        <v>60</v>
      </c>
      <c r="D11" s="15">
        <f>C11+D10-D9+D13</f>
        <v>0</v>
      </c>
      <c r="E11" s="15">
        <f t="shared" ref="E11:G11" si="0">D11+E10-E9+E13</f>
        <v>0</v>
      </c>
      <c r="F11" s="15">
        <f>E11+F10-F9+F13</f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35"/>
      <c r="M11" s="7" t="s">
        <v>24</v>
      </c>
      <c r="N11" s="5">
        <v>1</v>
      </c>
      <c r="O11" s="5">
        <v>2</v>
      </c>
      <c r="P11" s="5">
        <v>60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</row>
    <row r="12" spans="1:43" ht="15" x14ac:dyDescent="0.25">
      <c r="A12" s="102"/>
      <c r="B12" s="15" t="s">
        <v>39</v>
      </c>
      <c r="C12" s="15"/>
      <c r="D12" s="15">
        <f t="shared" ref="D12:J12" si="4">MAX(0,-(C11+D10-D9))</f>
        <v>0</v>
      </c>
      <c r="E12" s="15">
        <f t="shared" si="4"/>
        <v>0</v>
      </c>
      <c r="F12" s="15">
        <f t="shared" si="4"/>
        <v>712</v>
      </c>
      <c r="G12" s="15">
        <f t="shared" si="4"/>
        <v>1009</v>
      </c>
      <c r="H12" s="15">
        <f t="shared" si="4"/>
        <v>1114</v>
      </c>
      <c r="I12" s="15">
        <f t="shared" si="4"/>
        <v>781</v>
      </c>
      <c r="J12" s="15">
        <f t="shared" si="4"/>
        <v>538</v>
      </c>
      <c r="K12" s="15">
        <f t="shared" ref="K12" si="5">MAX(0,-(J11+K10-K9))</f>
        <v>0</v>
      </c>
      <c r="L12" s="35"/>
      <c r="M12" s="7" t="s">
        <v>25</v>
      </c>
      <c r="N12" s="5">
        <v>2</v>
      </c>
      <c r="O12" s="5">
        <v>3</v>
      </c>
      <c r="P12" s="5">
        <v>80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</row>
    <row r="13" spans="1:43" ht="15" x14ac:dyDescent="0.25">
      <c r="A13" s="102"/>
      <c r="B13" s="38" t="s">
        <v>40</v>
      </c>
      <c r="C13" s="15"/>
      <c r="D13" s="15"/>
      <c r="E13" s="15"/>
      <c r="F13" s="15">
        <v>712</v>
      </c>
      <c r="G13" s="15">
        <v>1009</v>
      </c>
      <c r="H13" s="15">
        <v>1114</v>
      </c>
      <c r="I13" s="15">
        <v>781</v>
      </c>
      <c r="J13" s="15">
        <v>538</v>
      </c>
      <c r="K13" s="15"/>
      <c r="L13" s="35"/>
      <c r="M13" s="7" t="s">
        <v>26</v>
      </c>
      <c r="N13" s="5">
        <v>2</v>
      </c>
      <c r="O13" s="5">
        <v>2</v>
      </c>
      <c r="P13" s="5">
        <v>70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</row>
    <row r="14" spans="1:43" ht="15" x14ac:dyDescent="0.2">
      <c r="A14" s="103"/>
      <c r="B14" s="16" t="s">
        <v>41</v>
      </c>
      <c r="C14" s="16"/>
      <c r="D14" s="16">
        <v>712</v>
      </c>
      <c r="E14" s="16">
        <v>1009</v>
      </c>
      <c r="F14" s="16">
        <v>1114</v>
      </c>
      <c r="G14" s="16">
        <v>781</v>
      </c>
      <c r="H14" s="16">
        <v>538</v>
      </c>
      <c r="I14" s="16"/>
      <c r="J14" s="16"/>
      <c r="K14" s="1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</row>
    <row r="15" spans="1:43" ht="18.75" x14ac:dyDescent="0.2">
      <c r="A15" s="114" t="s">
        <v>42</v>
      </c>
      <c r="B15" s="115"/>
      <c r="C15" s="116"/>
      <c r="D15" s="15">
        <f>D11*$E$2</f>
        <v>0</v>
      </c>
      <c r="E15" s="15">
        <f t="shared" ref="E15:G15" si="6">E11*$E$2</f>
        <v>0</v>
      </c>
      <c r="F15" s="15">
        <f t="shared" si="6"/>
        <v>0</v>
      </c>
      <c r="G15" s="15">
        <f t="shared" si="6"/>
        <v>0</v>
      </c>
      <c r="H15" s="15">
        <f>H11*$E$2</f>
        <v>0</v>
      </c>
      <c r="I15" s="15">
        <f t="shared" ref="I15:K15" si="7">I11*$E$2</f>
        <v>0</v>
      </c>
      <c r="J15" s="15">
        <f t="shared" si="7"/>
        <v>0</v>
      </c>
      <c r="K15" s="15">
        <f t="shared" si="7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43" ht="18.75" x14ac:dyDescent="0.2">
      <c r="A16" s="114" t="s">
        <v>44</v>
      </c>
      <c r="B16" s="115"/>
      <c r="C16" s="116"/>
      <c r="D16" s="90">
        <f>COUNTIF(D13:K13,"&gt;0")+COUNTIF(D10:K10,"&gt;0")</f>
        <v>7</v>
      </c>
      <c r="E16" s="91"/>
      <c r="F16" s="91"/>
      <c r="G16" s="91"/>
      <c r="H16" s="91"/>
      <c r="I16" s="91"/>
      <c r="J16" s="91"/>
      <c r="K16" s="92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43" ht="18.75" x14ac:dyDescent="0.2">
      <c r="A17" s="114" t="s">
        <v>12</v>
      </c>
      <c r="B17" s="115"/>
      <c r="C17" s="116"/>
      <c r="D17" s="93">
        <f>D16*E4</f>
        <v>32900000</v>
      </c>
      <c r="E17" s="94"/>
      <c r="F17" s="94"/>
      <c r="G17" s="94"/>
      <c r="H17" s="94"/>
      <c r="I17" s="94"/>
      <c r="J17" s="94"/>
      <c r="K17" s="9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</row>
    <row r="18" spans="1:43" ht="18.75" x14ac:dyDescent="0.2">
      <c r="A18" s="114" t="s">
        <v>45</v>
      </c>
      <c r="B18" s="115"/>
      <c r="C18" s="116"/>
      <c r="D18" s="96">
        <f>SUM(D15:K15)+D17</f>
        <v>32900000</v>
      </c>
      <c r="E18" s="97"/>
      <c r="F18" s="97"/>
      <c r="G18" s="97"/>
      <c r="H18" s="97"/>
      <c r="I18" s="97"/>
      <c r="J18" s="97"/>
      <c r="K18" s="9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</row>
    <row r="19" spans="1:43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3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</row>
    <row r="21" spans="1:43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43" x14ac:dyDescent="0.2">
      <c r="A22" s="87" t="s">
        <v>21</v>
      </c>
      <c r="B22" s="88"/>
      <c r="C22" s="89"/>
      <c r="D22" s="87" t="s">
        <v>52</v>
      </c>
      <c r="E22" s="88"/>
      <c r="F22" s="88"/>
      <c r="G22" s="88"/>
      <c r="H22" s="88"/>
      <c r="I22" s="88"/>
      <c r="J22" s="88"/>
      <c r="K22" s="89"/>
      <c r="L22" s="35"/>
      <c r="M22" s="35"/>
      <c r="N22" s="35"/>
      <c r="O22" s="104" t="s">
        <v>51</v>
      </c>
      <c r="P22" s="104">
        <f>MIN(D18,D33)</f>
        <v>32900000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</row>
    <row r="23" spans="1:43" ht="18.75" x14ac:dyDescent="0.2">
      <c r="A23" s="111" t="s">
        <v>49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35"/>
      <c r="M23" s="35"/>
      <c r="N23" s="35"/>
      <c r="O23" s="105"/>
      <c r="P23" s="10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</row>
    <row r="24" spans="1:43" ht="15" x14ac:dyDescent="0.25">
      <c r="A24" s="102"/>
      <c r="B24" s="16" t="s">
        <v>37</v>
      </c>
      <c r="C24" s="16"/>
      <c r="D24" s="41">
        <f>Vulcan10!D14*Vulcan10!$N$9</f>
        <v>692</v>
      </c>
      <c r="E24" s="41">
        <f>Vulcan10!E14*Vulcan10!$N$9</f>
        <v>715</v>
      </c>
      <c r="F24" s="41">
        <f>Vulcan10!F14*Vulcan10!$N$9</f>
        <v>712</v>
      </c>
      <c r="G24" s="41">
        <f>Vulcan10!G14*Vulcan10!$N$9</f>
        <v>1009</v>
      </c>
      <c r="H24" s="41">
        <f>Vulcan10!H14*Vulcan10!$N$9</f>
        <v>1114</v>
      </c>
      <c r="I24" s="41">
        <f>Vulcan10!I14*Vulcan10!$N$9</f>
        <v>781</v>
      </c>
      <c r="J24" s="41">
        <f>Vulcan10!J14*Vulcan10!$N$9</f>
        <v>538</v>
      </c>
      <c r="K24" s="41">
        <f>Vulcan10!K14*Vulcan10!$N$9</f>
        <v>0</v>
      </c>
      <c r="L24" s="35"/>
      <c r="M24" s="35"/>
      <c r="N24" s="35"/>
      <c r="O24" s="106"/>
      <c r="P24" s="106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</row>
    <row r="25" spans="1:43" x14ac:dyDescent="0.2">
      <c r="A25" s="102"/>
      <c r="B25" s="38" t="s">
        <v>38</v>
      </c>
      <c r="C25" s="15"/>
      <c r="D25" s="37">
        <v>1500</v>
      </c>
      <c r="E25" s="37"/>
      <c r="F25" s="37"/>
      <c r="G25" s="37"/>
      <c r="H25" s="37"/>
      <c r="I25" s="37"/>
      <c r="J25" s="37"/>
      <c r="K25" s="37"/>
      <c r="L25" s="35"/>
      <c r="M25" s="35"/>
      <c r="N25" s="35"/>
      <c r="O25" s="112" t="s">
        <v>35</v>
      </c>
      <c r="P25" s="113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</row>
    <row r="26" spans="1:43" x14ac:dyDescent="0.2">
      <c r="A26" s="102"/>
      <c r="B26" s="15" t="s">
        <v>5</v>
      </c>
      <c r="C26" s="15">
        <f>$P$8</f>
        <v>60</v>
      </c>
      <c r="D26" s="37">
        <f>D25-D24+C26+D28</f>
        <v>868</v>
      </c>
      <c r="E26" s="37">
        <f t="shared" ref="E26:K26" si="8">E25-E24+D26+E28</f>
        <v>153</v>
      </c>
      <c r="F26" s="37">
        <f t="shared" si="8"/>
        <v>941</v>
      </c>
      <c r="G26" s="37">
        <f t="shared" si="8"/>
        <v>1432</v>
      </c>
      <c r="H26" s="37">
        <f t="shared" si="8"/>
        <v>318</v>
      </c>
      <c r="I26" s="37">
        <f t="shared" si="8"/>
        <v>1037</v>
      </c>
      <c r="J26" s="37">
        <f t="shared" si="8"/>
        <v>499</v>
      </c>
      <c r="K26" s="37">
        <f t="shared" si="8"/>
        <v>499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</row>
    <row r="27" spans="1:43" x14ac:dyDescent="0.2">
      <c r="A27" s="102"/>
      <c r="B27" s="15" t="s">
        <v>39</v>
      </c>
      <c r="C27" s="15"/>
      <c r="D27" s="15">
        <f t="shared" ref="D27:K27" si="9">MAX(0,-(C26+D25-D24))</f>
        <v>0</v>
      </c>
      <c r="E27" s="15">
        <f t="shared" si="9"/>
        <v>0</v>
      </c>
      <c r="F27" s="15">
        <f t="shared" si="9"/>
        <v>559</v>
      </c>
      <c r="G27" s="15">
        <f t="shared" si="9"/>
        <v>68</v>
      </c>
      <c r="H27" s="15">
        <f t="shared" si="9"/>
        <v>0</v>
      </c>
      <c r="I27" s="15">
        <f t="shared" si="9"/>
        <v>463</v>
      </c>
      <c r="J27" s="15">
        <f t="shared" si="9"/>
        <v>0</v>
      </c>
      <c r="K27" s="15">
        <f t="shared" si="9"/>
        <v>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</row>
    <row r="28" spans="1:43" x14ac:dyDescent="0.2">
      <c r="A28" s="102"/>
      <c r="B28" s="38" t="s">
        <v>40</v>
      </c>
      <c r="C28" s="15"/>
      <c r="D28" s="37"/>
      <c r="E28" s="37"/>
      <c r="F28" s="37">
        <v>1500</v>
      </c>
      <c r="G28" s="37">
        <v>1500</v>
      </c>
      <c r="H28" s="37"/>
      <c r="I28" s="37">
        <v>1500</v>
      </c>
      <c r="J28" s="37"/>
      <c r="K28" s="3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</row>
    <row r="29" spans="1:43" ht="15" x14ac:dyDescent="0.25">
      <c r="A29" s="103"/>
      <c r="B29" s="16" t="s">
        <v>41</v>
      </c>
      <c r="C29" s="16"/>
      <c r="D29" s="41">
        <v>1500</v>
      </c>
      <c r="E29" s="41">
        <v>1500</v>
      </c>
      <c r="F29" s="41"/>
      <c r="G29" s="41">
        <v>1500</v>
      </c>
      <c r="H29" s="41"/>
      <c r="I29" s="41"/>
      <c r="J29" s="41"/>
      <c r="K29" s="41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</row>
    <row r="30" spans="1:43" ht="18.75" x14ac:dyDescent="0.2">
      <c r="A30" s="114" t="s">
        <v>42</v>
      </c>
      <c r="B30" s="115"/>
      <c r="C30" s="116"/>
      <c r="D30" s="37">
        <f>D26*$E$2</f>
        <v>13888000</v>
      </c>
      <c r="E30" s="37">
        <f t="shared" ref="E30:K30" si="10">E26*$E$2</f>
        <v>2448000</v>
      </c>
      <c r="F30" s="37">
        <f t="shared" si="10"/>
        <v>15056000</v>
      </c>
      <c r="G30" s="37">
        <f>G26*$E$2</f>
        <v>22912000</v>
      </c>
      <c r="H30" s="37">
        <f t="shared" si="10"/>
        <v>5088000</v>
      </c>
      <c r="I30" s="37">
        <f t="shared" si="10"/>
        <v>16592000</v>
      </c>
      <c r="J30" s="37">
        <f t="shared" si="10"/>
        <v>7984000</v>
      </c>
      <c r="K30" s="37">
        <f t="shared" si="10"/>
        <v>7984000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</row>
    <row r="31" spans="1:43" ht="18.75" x14ac:dyDescent="0.2">
      <c r="A31" s="114" t="s">
        <v>44</v>
      </c>
      <c r="B31" s="115"/>
      <c r="C31" s="116"/>
      <c r="D31" s="90">
        <f>COUNTIF(D28:K28,"&gt;0")+COUNTIF(D25:K25,"&gt;0")</f>
        <v>4</v>
      </c>
      <c r="E31" s="91"/>
      <c r="F31" s="91"/>
      <c r="G31" s="91"/>
      <c r="H31" s="91"/>
      <c r="I31" s="91"/>
      <c r="J31" s="91"/>
      <c r="K31" s="9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</row>
    <row r="32" spans="1:43" ht="18.75" x14ac:dyDescent="0.2">
      <c r="A32" s="114" t="s">
        <v>12</v>
      </c>
      <c r="B32" s="115"/>
      <c r="C32" s="116"/>
      <c r="D32" s="93">
        <f>D31*$E$4</f>
        <v>18800000</v>
      </c>
      <c r="E32" s="94"/>
      <c r="F32" s="94"/>
      <c r="G32" s="94"/>
      <c r="H32" s="94"/>
      <c r="I32" s="94"/>
      <c r="J32" s="94"/>
      <c r="K32" s="9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</row>
    <row r="33" spans="1:43" ht="18.75" x14ac:dyDescent="0.25">
      <c r="A33" s="114" t="s">
        <v>45</v>
      </c>
      <c r="B33" s="115"/>
      <c r="C33" s="116"/>
      <c r="D33" s="108">
        <f>SUM(D30:K30)+D32</f>
        <v>110752000</v>
      </c>
      <c r="E33" s="109"/>
      <c r="F33" s="109"/>
      <c r="G33" s="109"/>
      <c r="H33" s="109"/>
      <c r="I33" s="109"/>
      <c r="J33" s="109"/>
      <c r="K33" s="110"/>
      <c r="L33" s="40"/>
      <c r="M33" s="35"/>
      <c r="N33" s="35"/>
      <c r="O33" s="35"/>
      <c r="P33" s="35"/>
      <c r="Q33" s="35"/>
      <c r="R33" s="35"/>
      <c r="S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</row>
    <row r="34" spans="1:43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</row>
    <row r="35" spans="1:43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</row>
    <row r="36" spans="1:43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1:43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1:43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1:43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1:43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3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1:43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1:43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1:43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1:43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1:43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1:43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1:43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1:43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</row>
    <row r="51" spans="1:43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</row>
    <row r="52" spans="1:43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</row>
    <row r="53" spans="1:43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</row>
    <row r="54" spans="1:43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</row>
    <row r="57" spans="1:43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</row>
    <row r="58" spans="1:43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</row>
    <row r="59" spans="1:43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</row>
    <row r="60" spans="1:43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</row>
    <row r="61" spans="1:43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</row>
    <row r="62" spans="1:43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</row>
    <row r="63" spans="1:43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</row>
    <row r="64" spans="1:43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1:43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43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</row>
    <row r="67" spans="1:43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</row>
    <row r="68" spans="1:43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</row>
    <row r="70" spans="1:43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</row>
    <row r="71" spans="1:43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</row>
    <row r="72" spans="1:43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</row>
    <row r="73" spans="1:43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</row>
    <row r="74" spans="1:43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</row>
    <row r="75" spans="1:43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</row>
    <row r="76" spans="1:43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</row>
    <row r="77" spans="1:43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</row>
    <row r="78" spans="1:43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</row>
    <row r="79" spans="1:43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</row>
    <row r="80" spans="1:43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</row>
    <row r="81" spans="1:43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</row>
    <row r="82" spans="1:43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</row>
    <row r="83" spans="1:43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</row>
    <row r="84" spans="1:43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</row>
    <row r="85" spans="1:43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</row>
    <row r="86" spans="1:43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</row>
    <row r="87" spans="1:43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</row>
    <row r="88" spans="1:43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</row>
    <row r="89" spans="1:43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</row>
    <row r="90" spans="1:43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</row>
    <row r="91" spans="1:43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43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3" spans="1:43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</row>
    <row r="94" spans="1:43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</row>
    <row r="95" spans="1:43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</row>
    <row r="96" spans="1:43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</row>
    <row r="97" spans="1:43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</row>
    <row r="98" spans="1:43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</row>
    <row r="99" spans="1:43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</row>
    <row r="101" spans="1:43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</row>
    <row r="102" spans="1:43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</row>
    <row r="103" spans="1:43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</row>
    <row r="104" spans="1:43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</row>
    <row r="105" spans="1:43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</row>
    <row r="106" spans="1:43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</row>
    <row r="107" spans="1:43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</row>
    <row r="108" spans="1:43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</row>
    <row r="109" spans="1:43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</row>
    <row r="110" spans="1:43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</row>
    <row r="111" spans="1:43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</row>
    <row r="112" spans="1:43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</row>
  </sheetData>
  <sheetProtection algorithmName="SHA-512" hashValue="Wg2gcchUyEg4wWJXnbblVwRnbfhIEWzpz6gANzpQRak9Uo7gTCDAJnQ++0l01OQjVAYUUz96g2boOROU2/UREQ==" saltValue="5O+MQk+pDr85soYUNgwUNg==" spinCount="100000" sheet="1" objects="1" scenarios="1"/>
  <mergeCells count="23">
    <mergeCell ref="D7:K7"/>
    <mergeCell ref="D16:K16"/>
    <mergeCell ref="D17:K17"/>
    <mergeCell ref="D18:K18"/>
    <mergeCell ref="A17:C17"/>
    <mergeCell ref="A18:C18"/>
    <mergeCell ref="A7:C7"/>
    <mergeCell ref="A8:A14"/>
    <mergeCell ref="A15:C15"/>
    <mergeCell ref="A16:C16"/>
    <mergeCell ref="P22:P24"/>
    <mergeCell ref="O25:P25"/>
    <mergeCell ref="A32:C32"/>
    <mergeCell ref="D32:K32"/>
    <mergeCell ref="A33:C33"/>
    <mergeCell ref="D33:K33"/>
    <mergeCell ref="O22:O24"/>
    <mergeCell ref="A22:C22"/>
    <mergeCell ref="D22:K22"/>
    <mergeCell ref="A23:A29"/>
    <mergeCell ref="A30:C30"/>
    <mergeCell ref="A31:C31"/>
    <mergeCell ref="D31:K31"/>
  </mergeCells>
  <phoneticPr fontId="5" type="noConversion"/>
  <conditionalFormatting sqref="A1:Y16 A19:Y31 A17:C18 L17:Y18 A33:Y47 A32:C32 L32:Y32">
    <cfRule type="containsBlanks" dxfId="78" priority="6">
      <formula>LEN(TRIM(A1))=0</formula>
    </cfRule>
  </conditionalFormatting>
  <conditionalFormatting sqref="D18:K18">
    <cfRule type="containsBlanks" dxfId="77" priority="5">
      <formula>LEN(TRIM(D18))=0</formula>
    </cfRule>
  </conditionalFormatting>
  <conditionalFormatting sqref="D17:K17">
    <cfRule type="containsBlanks" dxfId="76" priority="4">
      <formula>LEN(TRIM(D17))=0</formula>
    </cfRule>
  </conditionalFormatting>
  <conditionalFormatting sqref="D17:K17">
    <cfRule type="cellIs" dxfId="75" priority="3" operator="equal">
      <formula>0</formula>
    </cfRule>
  </conditionalFormatting>
  <conditionalFormatting sqref="D32:K32">
    <cfRule type="containsBlanks" dxfId="74" priority="2">
      <formula>LEN(TRIM(D32))=0</formula>
    </cfRule>
  </conditionalFormatting>
  <conditionalFormatting sqref="D32:K32">
    <cfRule type="cellIs" dxfId="73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0D48-1671-448A-9217-985B126B759E}">
  <sheetPr>
    <tabColor theme="7" tint="-0.249977111117893"/>
  </sheetPr>
  <dimension ref="A1:AM62"/>
  <sheetViews>
    <sheetView rightToLeft="1" zoomScale="85" zoomScaleNormal="85" workbookViewId="0">
      <selection activeCell="H21" sqref="H21"/>
    </sheetView>
  </sheetViews>
  <sheetFormatPr defaultRowHeight="14.25" x14ac:dyDescent="0.2"/>
  <cols>
    <col min="3" max="3" width="5.875" customWidth="1"/>
    <col min="16" max="16" width="10.75" customWidth="1"/>
    <col min="20" max="20" width="255.625" customWidth="1"/>
  </cols>
  <sheetData>
    <row r="1" spans="1:3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9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20</v>
      </c>
      <c r="N6" s="3" t="s">
        <v>27</v>
      </c>
      <c r="O6" s="3" t="s">
        <v>28</v>
      </c>
      <c r="P6" s="3" t="s">
        <v>29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5" x14ac:dyDescent="0.25">
      <c r="A7" s="99" t="s">
        <v>22</v>
      </c>
      <c r="B7" s="99"/>
      <c r="C7" s="99"/>
      <c r="D7" s="87" t="s">
        <v>47</v>
      </c>
      <c r="E7" s="88"/>
      <c r="F7" s="88"/>
      <c r="G7" s="88"/>
      <c r="H7" s="88"/>
      <c r="I7" s="88"/>
      <c r="J7" s="88"/>
      <c r="K7" s="89"/>
      <c r="L7" s="1"/>
      <c r="M7" s="4" t="s">
        <v>4</v>
      </c>
      <c r="N7" s="5" t="s">
        <v>30</v>
      </c>
      <c r="O7" s="5">
        <v>1</v>
      </c>
      <c r="P7" s="5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6" t="s">
        <v>21</v>
      </c>
      <c r="N8" s="5">
        <v>1</v>
      </c>
      <c r="O8" s="5">
        <v>2</v>
      </c>
      <c r="P8" s="5">
        <v>60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5" x14ac:dyDescent="0.25">
      <c r="A9" s="102"/>
      <c r="B9" s="16" t="s">
        <v>37</v>
      </c>
      <c r="C9" s="15"/>
      <c r="D9" s="16">
        <f>'MRP A'!D14*'MRP A'!$N$9</f>
        <v>712</v>
      </c>
      <c r="E9" s="16">
        <f>'MRP A'!E14*'MRP A'!$N$9</f>
        <v>1009</v>
      </c>
      <c r="F9" s="16">
        <f>'MRP A'!F14*'MRP A'!$N$9</f>
        <v>1114</v>
      </c>
      <c r="G9" s="16">
        <f>'MRP A'!G14*'MRP A'!$N$9</f>
        <v>781</v>
      </c>
      <c r="H9" s="16">
        <f>'MRP A'!H14*'MRP A'!$N$9</f>
        <v>538</v>
      </c>
      <c r="I9" s="16">
        <f>'MRP A'!I14*'MRP A'!$N$9</f>
        <v>0</v>
      </c>
      <c r="J9" s="16">
        <f>'MRP A'!J14*'MRP A'!$N$9</f>
        <v>0</v>
      </c>
      <c r="K9" s="16">
        <f>'MRP A'!K14*'MRP A'!$N$9</f>
        <v>0</v>
      </c>
      <c r="L9" s="1"/>
      <c r="M9" s="7" t="s">
        <v>22</v>
      </c>
      <c r="N9" s="5">
        <v>1</v>
      </c>
      <c r="O9" s="5">
        <v>2</v>
      </c>
      <c r="P9" s="5">
        <v>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" x14ac:dyDescent="0.25">
      <c r="A10" s="102"/>
      <c r="B10" s="38" t="s">
        <v>38</v>
      </c>
      <c r="C10" s="15"/>
      <c r="D10" s="15">
        <f>D9-C11</f>
        <v>672</v>
      </c>
      <c r="E10" s="15">
        <v>1009</v>
      </c>
      <c r="F10" s="15"/>
      <c r="G10" s="15"/>
      <c r="H10" s="15"/>
      <c r="I10" s="15"/>
      <c r="J10" s="15"/>
      <c r="K10" s="15"/>
      <c r="L10" s="1"/>
      <c r="M10" s="7" t="s">
        <v>23</v>
      </c>
      <c r="N10" s="5">
        <v>1</v>
      </c>
      <c r="O10" s="5">
        <v>1</v>
      </c>
      <c r="P10" s="5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" x14ac:dyDescent="0.25">
      <c r="A11" s="102"/>
      <c r="B11" s="15" t="s">
        <v>5</v>
      </c>
      <c r="C11" s="15">
        <f>$P$9</f>
        <v>40</v>
      </c>
      <c r="D11" s="15">
        <f>C11+D10-D9+D13</f>
        <v>0</v>
      </c>
      <c r="E11" s="15">
        <f t="shared" ref="E11:G11" si="0">D11+E10-E9+E13</f>
        <v>0</v>
      </c>
      <c r="F11" s="15">
        <f t="shared" si="0"/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6" t="s">
        <v>24</v>
      </c>
      <c r="N11" s="5">
        <v>1</v>
      </c>
      <c r="O11" s="5">
        <v>2</v>
      </c>
      <c r="P11" s="5">
        <v>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 t="shared" si="4"/>
        <v>0</v>
      </c>
      <c r="F12" s="15">
        <f t="shared" si="4"/>
        <v>1114</v>
      </c>
      <c r="G12" s="15">
        <f t="shared" si="4"/>
        <v>781</v>
      </c>
      <c r="H12" s="15">
        <f t="shared" si="4"/>
        <v>538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"/>
      <c r="M12" s="6" t="s">
        <v>25</v>
      </c>
      <c r="N12" s="5">
        <v>2</v>
      </c>
      <c r="O12" s="5">
        <v>3</v>
      </c>
      <c r="P12" s="5">
        <v>80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5" x14ac:dyDescent="0.25">
      <c r="A13" s="102"/>
      <c r="B13" s="38" t="s">
        <v>40</v>
      </c>
      <c r="C13" s="15"/>
      <c r="D13" s="15"/>
      <c r="E13" s="15"/>
      <c r="F13" s="15">
        <v>1114</v>
      </c>
      <c r="G13" s="15">
        <v>781</v>
      </c>
      <c r="H13" s="15">
        <v>538</v>
      </c>
      <c r="I13" s="15"/>
      <c r="J13" s="15"/>
      <c r="K13" s="15"/>
      <c r="L13" s="1"/>
      <c r="M13" s="6" t="s">
        <v>26</v>
      </c>
      <c r="N13" s="5">
        <v>2</v>
      </c>
      <c r="O13" s="5">
        <v>2</v>
      </c>
      <c r="P13" s="5">
        <v>70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" x14ac:dyDescent="0.2">
      <c r="A14" s="103"/>
      <c r="B14" s="16" t="s">
        <v>41</v>
      </c>
      <c r="C14" s="16"/>
      <c r="D14" s="16">
        <v>1114</v>
      </c>
      <c r="E14" s="16">
        <v>781</v>
      </c>
      <c r="F14" s="16">
        <v>538</v>
      </c>
      <c r="G14" s="16"/>
      <c r="H14" s="16"/>
      <c r="I14" s="16"/>
      <c r="J14" s="1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8.75" x14ac:dyDescent="0.2">
      <c r="A15" s="114" t="s">
        <v>42</v>
      </c>
      <c r="B15" s="115"/>
      <c r="C15" s="116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8.75" x14ac:dyDescent="0.2">
      <c r="A16" s="114" t="s">
        <v>44</v>
      </c>
      <c r="B16" s="115"/>
      <c r="C16" s="116"/>
      <c r="D16" s="90">
        <f>COUNTIF(D13:K13,"&gt;0")+COUNTIF(D10:K10,"&gt;0")</f>
        <v>5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8.75" x14ac:dyDescent="0.2">
      <c r="A17" s="114" t="s">
        <v>12</v>
      </c>
      <c r="B17" s="115"/>
      <c r="C17" s="116"/>
      <c r="D17" s="93">
        <f>D16*E4</f>
        <v>23500000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8.75" x14ac:dyDescent="0.2">
      <c r="A18" s="114" t="s">
        <v>45</v>
      </c>
      <c r="B18" s="115"/>
      <c r="C18" s="116"/>
      <c r="D18" s="96">
        <f>SUM(D15:K15)+D17</f>
        <v>23500000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">
      <c r="A22" s="99" t="s">
        <v>22</v>
      </c>
      <c r="B22" s="99"/>
      <c r="C22" s="99"/>
      <c r="D22" s="87" t="s">
        <v>53</v>
      </c>
      <c r="E22" s="88"/>
      <c r="F22" s="88"/>
      <c r="G22" s="88"/>
      <c r="H22" s="88"/>
      <c r="I22" s="88"/>
      <c r="J22" s="88"/>
      <c r="K22" s="89"/>
      <c r="L22" s="1"/>
      <c r="M22" s="1"/>
      <c r="N22" s="1"/>
      <c r="O22" s="104" t="s">
        <v>51</v>
      </c>
      <c r="P22" s="104">
        <f>MIN(D18,D33)</f>
        <v>23500000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8.75" x14ac:dyDescent="0.2">
      <c r="A23" s="101" t="s">
        <v>54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" x14ac:dyDescent="0.2">
      <c r="A24" s="102"/>
      <c r="B24" s="16" t="s">
        <v>37</v>
      </c>
      <c r="C24" s="15"/>
      <c r="D24" s="16">
        <f>'MRP A'!D14*'MRP A'!$N$9</f>
        <v>712</v>
      </c>
      <c r="E24" s="16">
        <f>'MRP A'!E14*'MRP A'!$N$9</f>
        <v>1009</v>
      </c>
      <c r="F24" s="16">
        <f>'MRP A'!F14*'MRP A'!$N$9</f>
        <v>1114</v>
      </c>
      <c r="G24" s="16">
        <f>'MRP A'!G14*'MRP A'!$N$9</f>
        <v>781</v>
      </c>
      <c r="H24" s="16">
        <f>'MRP A'!H14*'MRP A'!$N$9</f>
        <v>538</v>
      </c>
      <c r="I24" s="16">
        <f>'MRP A'!I14*'MRP A'!$N$9</f>
        <v>0</v>
      </c>
      <c r="J24" s="16">
        <f>'MRP A'!J14*'MRP A'!$N$9</f>
        <v>0</v>
      </c>
      <c r="K24" s="16">
        <f>'MRP A'!K14*'MRP A'!$N$9</f>
        <v>0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102"/>
      <c r="B25" s="38" t="s">
        <v>38</v>
      </c>
      <c r="C25" s="15"/>
      <c r="D25" s="15">
        <v>1500</v>
      </c>
      <c r="E25" s="15">
        <v>1500</v>
      </c>
      <c r="F25" s="15"/>
      <c r="G25" s="15"/>
      <c r="H25" s="15"/>
      <c r="I25" s="15"/>
      <c r="J25" s="15"/>
      <c r="K25" s="15"/>
      <c r="L25" s="1"/>
      <c r="M25" s="1"/>
      <c r="N25" s="1"/>
      <c r="O25" s="112" t="s">
        <v>35</v>
      </c>
      <c r="P25" s="1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">
      <c r="A26" s="102"/>
      <c r="B26" s="15" t="s">
        <v>5</v>
      </c>
      <c r="C26" s="15">
        <f>$P$9</f>
        <v>40</v>
      </c>
      <c r="D26" s="15">
        <f>D25-D24+C26+D28</f>
        <v>828</v>
      </c>
      <c r="E26" s="15">
        <f t="shared" ref="E26:K26" si="7">E25-E24+D26+E28</f>
        <v>1319</v>
      </c>
      <c r="F26" s="15">
        <f t="shared" si="7"/>
        <v>205</v>
      </c>
      <c r="G26" s="15">
        <f t="shared" si="7"/>
        <v>924</v>
      </c>
      <c r="H26" s="15">
        <f t="shared" si="7"/>
        <v>386</v>
      </c>
      <c r="I26" s="15">
        <f t="shared" si="7"/>
        <v>386</v>
      </c>
      <c r="J26" s="15">
        <f t="shared" si="7"/>
        <v>386</v>
      </c>
      <c r="K26" s="15">
        <f t="shared" si="7"/>
        <v>386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102"/>
      <c r="B27" s="15" t="s">
        <v>39</v>
      </c>
      <c r="C27" s="15"/>
      <c r="D27" s="15">
        <f t="shared" ref="D27:K27" si="8">MAX(0,-(C26+D25-D24))</f>
        <v>0</v>
      </c>
      <c r="E27" s="15">
        <f t="shared" si="8"/>
        <v>0</v>
      </c>
      <c r="F27" s="15">
        <f t="shared" si="8"/>
        <v>0</v>
      </c>
      <c r="G27" s="15">
        <f t="shared" si="8"/>
        <v>576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">
      <c r="A28" s="102"/>
      <c r="B28" s="38" t="s">
        <v>40</v>
      </c>
      <c r="C28" s="15"/>
      <c r="D28" s="15"/>
      <c r="E28" s="15"/>
      <c r="F28" s="15"/>
      <c r="G28" s="15">
        <v>1500</v>
      </c>
      <c r="H28" s="15"/>
      <c r="I28" s="15"/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" x14ac:dyDescent="0.2">
      <c r="A29" s="103"/>
      <c r="B29" s="16" t="s">
        <v>41</v>
      </c>
      <c r="C29" s="16"/>
      <c r="D29" s="16"/>
      <c r="E29" s="16">
        <v>1500</v>
      </c>
      <c r="F29" s="16"/>
      <c r="G29" s="16"/>
      <c r="H29" s="16"/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8.75" x14ac:dyDescent="0.2">
      <c r="A30" s="114" t="s">
        <v>42</v>
      </c>
      <c r="B30" s="115"/>
      <c r="C30" s="116"/>
      <c r="D30" s="15">
        <f>D26*$E$2</f>
        <v>13248000</v>
      </c>
      <c r="E30" s="15">
        <f t="shared" ref="E30:G30" si="9">E26*$E$2</f>
        <v>21104000</v>
      </c>
      <c r="F30" s="15">
        <f t="shared" si="9"/>
        <v>3280000</v>
      </c>
      <c r="G30" s="15">
        <f t="shared" si="9"/>
        <v>14784000</v>
      </c>
      <c r="H30" s="15">
        <f>H26*$E$2</f>
        <v>6176000</v>
      </c>
      <c r="I30" s="15">
        <f t="shared" ref="I30:K30" si="10">I26*$E$2</f>
        <v>6176000</v>
      </c>
      <c r="J30" s="15">
        <f t="shared" si="10"/>
        <v>6176000</v>
      </c>
      <c r="K30" s="15">
        <f t="shared" si="10"/>
        <v>6176000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8.75" x14ac:dyDescent="0.2">
      <c r="A31" s="114" t="s">
        <v>44</v>
      </c>
      <c r="B31" s="115"/>
      <c r="C31" s="116"/>
      <c r="D31" s="90">
        <f>COUNTIF(D28:K28,"&gt;0")+COUNTIF(D25:K25,"&gt;0")</f>
        <v>3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8.75" x14ac:dyDescent="0.2">
      <c r="A32" s="114" t="s">
        <v>12</v>
      </c>
      <c r="B32" s="115"/>
      <c r="C32" s="116"/>
      <c r="D32" s="93">
        <f>D31*$E$4</f>
        <v>14100000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8.75" x14ac:dyDescent="0.2">
      <c r="A33" s="114" t="s">
        <v>45</v>
      </c>
      <c r="B33" s="115"/>
      <c r="C33" s="116"/>
      <c r="D33" s="108">
        <f>SUM(D30:K30)+D32</f>
        <v>91220000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</sheetData>
  <sheetProtection algorithmName="SHA-512" hashValue="8xjOXMqm0e3F/bDVdGd1DeOrSrf/sB0tRqGvN+sy/CJ4KM1EkM0nZfyIwiF8zVDbE21MxX0qG267k/XRjqtxfw==" saltValue="rs7akTWVhL7QzbSAFykySw==" spinCount="100000" sheet="1" objects="1" scenarios="1"/>
  <mergeCells count="23">
    <mergeCell ref="A7:C7"/>
    <mergeCell ref="D7:K7"/>
    <mergeCell ref="D16:K16"/>
    <mergeCell ref="A15:C15"/>
    <mergeCell ref="A16:C16"/>
    <mergeCell ref="A8:A14"/>
    <mergeCell ref="D32:K32"/>
    <mergeCell ref="D33:K33"/>
    <mergeCell ref="A32:C32"/>
    <mergeCell ref="A33:C33"/>
    <mergeCell ref="D17:K17"/>
    <mergeCell ref="D18:K18"/>
    <mergeCell ref="A17:C17"/>
    <mergeCell ref="A18:C18"/>
    <mergeCell ref="O22:O24"/>
    <mergeCell ref="P22:P24"/>
    <mergeCell ref="O25:P25"/>
    <mergeCell ref="A30:C30"/>
    <mergeCell ref="A31:C31"/>
    <mergeCell ref="A23:A29"/>
    <mergeCell ref="A22:C22"/>
    <mergeCell ref="D22:K22"/>
    <mergeCell ref="D31:K31"/>
  </mergeCells>
  <phoneticPr fontId="5" type="noConversion"/>
  <conditionalFormatting sqref="A1:T8 A15:T16 B9:T11 B13:T14 B12:C12 L12:T12 A28:T31 A27:C27 L27:T27 A34:T41 A19:T26 A17:C18 L17:T18 A32:C33 L32:T33">
    <cfRule type="containsBlanks" dxfId="72" priority="9">
      <formula>LEN(TRIM(A1))=0</formula>
    </cfRule>
  </conditionalFormatting>
  <conditionalFormatting sqref="D12:K12">
    <cfRule type="containsBlanks" dxfId="71" priority="8">
      <formula>LEN(TRIM(D12))=0</formula>
    </cfRule>
  </conditionalFormatting>
  <conditionalFormatting sqref="D27:K27">
    <cfRule type="containsBlanks" dxfId="70" priority="7">
      <formula>LEN(TRIM(D27))=0</formula>
    </cfRule>
  </conditionalFormatting>
  <conditionalFormatting sqref="D33:K33">
    <cfRule type="containsBlanks" dxfId="69" priority="6">
      <formula>LEN(TRIM(D33))=0</formula>
    </cfRule>
  </conditionalFormatting>
  <conditionalFormatting sqref="D18:K18">
    <cfRule type="containsBlanks" dxfId="68" priority="5">
      <formula>LEN(TRIM(D18))=0</formula>
    </cfRule>
  </conditionalFormatting>
  <conditionalFormatting sqref="D17:K17">
    <cfRule type="containsBlanks" dxfId="67" priority="4">
      <formula>LEN(TRIM(D17))=0</formula>
    </cfRule>
  </conditionalFormatting>
  <conditionalFormatting sqref="D17:K17">
    <cfRule type="cellIs" dxfId="66" priority="3" operator="equal">
      <formula>0</formula>
    </cfRule>
  </conditionalFormatting>
  <conditionalFormatting sqref="D32:K32">
    <cfRule type="containsBlanks" dxfId="65" priority="2">
      <formula>LEN(TRIM(D32))=0</formula>
    </cfRule>
  </conditionalFormatting>
  <conditionalFormatting sqref="D32:K32">
    <cfRule type="cellIs" dxfId="6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DCC2-FD36-4A87-918D-CD73D6235FA1}">
  <sheetPr>
    <tabColor theme="7" tint="-0.249977111117893"/>
  </sheetPr>
  <dimension ref="A1:BE157"/>
  <sheetViews>
    <sheetView rightToLeft="1" topLeftCell="A10" zoomScale="85" zoomScaleNormal="85" workbookViewId="0">
      <selection activeCell="D14" sqref="D14:G14"/>
    </sheetView>
  </sheetViews>
  <sheetFormatPr defaultRowHeight="14.25" x14ac:dyDescent="0.2"/>
  <cols>
    <col min="1" max="1" width="13.375" customWidth="1"/>
    <col min="22" max="22" width="255.625" customWidth="1"/>
  </cols>
  <sheetData>
    <row r="1" spans="1:5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20</v>
      </c>
      <c r="N6" s="3" t="s">
        <v>27</v>
      </c>
      <c r="O6" s="3" t="s">
        <v>28</v>
      </c>
      <c r="P6" s="3" t="s">
        <v>29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5">
      <c r="A7" s="87" t="s">
        <v>23</v>
      </c>
      <c r="B7" s="88"/>
      <c r="C7" s="89"/>
      <c r="D7" s="87" t="s">
        <v>43</v>
      </c>
      <c r="E7" s="88"/>
      <c r="F7" s="88"/>
      <c r="G7" s="88"/>
      <c r="H7" s="88"/>
      <c r="I7" s="88"/>
      <c r="J7" s="88"/>
      <c r="K7" s="89"/>
      <c r="L7" s="1"/>
      <c r="M7" s="4" t="s">
        <v>4</v>
      </c>
      <c r="N7" s="5" t="s">
        <v>30</v>
      </c>
      <c r="O7" s="5">
        <v>1</v>
      </c>
      <c r="P7" s="5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6" t="s">
        <v>21</v>
      </c>
      <c r="N8" s="5">
        <v>1</v>
      </c>
      <c r="O8" s="5">
        <v>2</v>
      </c>
      <c r="P8" s="5">
        <v>60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5">
      <c r="A9" s="102"/>
      <c r="B9" s="16" t="s">
        <v>37</v>
      </c>
      <c r="C9" s="15"/>
      <c r="D9" s="16">
        <f>'MRP A'!D14*'MRP A'!$N$9</f>
        <v>712</v>
      </c>
      <c r="E9" s="16">
        <f>'MRP A'!E14*'MRP A'!$N$9</f>
        <v>1009</v>
      </c>
      <c r="F9" s="16">
        <f>'MRP A'!F14*'MRP A'!$N$9</f>
        <v>1114</v>
      </c>
      <c r="G9" s="16">
        <f>'MRP A'!G14*'MRP A'!$N$9</f>
        <v>781</v>
      </c>
      <c r="H9" s="16">
        <f>'MRP A'!H14*'MRP A'!$N$9</f>
        <v>538</v>
      </c>
      <c r="I9" s="16">
        <f>'MRP A'!I14*'MRP A'!$N$9</f>
        <v>0</v>
      </c>
      <c r="J9" s="16">
        <f>'MRP A'!J14*'MRP A'!$N$9</f>
        <v>0</v>
      </c>
      <c r="K9" s="16">
        <f>'MRP A'!K14*'MRP A'!$N$9</f>
        <v>0</v>
      </c>
      <c r="L9" s="1"/>
      <c r="M9" s="7" t="s">
        <v>22</v>
      </c>
      <c r="N9" s="5">
        <v>1</v>
      </c>
      <c r="O9" s="5">
        <v>2</v>
      </c>
      <c r="P9" s="5">
        <v>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x14ac:dyDescent="0.25">
      <c r="A10" s="102"/>
      <c r="B10" s="38" t="s">
        <v>38</v>
      </c>
      <c r="C10" s="15"/>
      <c r="D10" s="15">
        <f>D9-C11</f>
        <v>672</v>
      </c>
      <c r="E10" s="15"/>
      <c r="F10" s="15"/>
      <c r="G10" s="15"/>
      <c r="H10" s="15"/>
      <c r="I10" s="15"/>
      <c r="J10" s="15"/>
      <c r="K10" s="15"/>
      <c r="L10" s="1"/>
      <c r="M10" s="7" t="s">
        <v>23</v>
      </c>
      <c r="N10" s="5">
        <v>1</v>
      </c>
      <c r="O10" s="5">
        <v>1</v>
      </c>
      <c r="P10" s="5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x14ac:dyDescent="0.25">
      <c r="A11" s="102"/>
      <c r="B11" s="15" t="s">
        <v>5</v>
      </c>
      <c r="C11" s="15">
        <f>$P$9</f>
        <v>40</v>
      </c>
      <c r="D11" s="15">
        <f>C11+D10-D9+D13</f>
        <v>0</v>
      </c>
      <c r="E11" s="15">
        <f t="shared" ref="E11:G11" si="0">D11+E10-E9+E13</f>
        <v>0</v>
      </c>
      <c r="F11" s="15">
        <f t="shared" si="0"/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6" t="s">
        <v>24</v>
      </c>
      <c r="N11" s="5">
        <v>1</v>
      </c>
      <c r="O11" s="5">
        <v>2</v>
      </c>
      <c r="P11" s="5">
        <v>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 t="shared" si="4"/>
        <v>1009</v>
      </c>
      <c r="F12" s="15">
        <f t="shared" si="4"/>
        <v>1114</v>
      </c>
      <c r="G12" s="15">
        <f t="shared" si="4"/>
        <v>781</v>
      </c>
      <c r="H12" s="15">
        <f t="shared" si="4"/>
        <v>538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"/>
      <c r="M12" s="6" t="s">
        <v>25</v>
      </c>
      <c r="N12" s="5">
        <v>2</v>
      </c>
      <c r="O12" s="5">
        <v>3</v>
      </c>
      <c r="P12" s="5">
        <v>80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5">
      <c r="A13" s="102"/>
      <c r="B13" s="38" t="s">
        <v>40</v>
      </c>
      <c r="C13" s="15"/>
      <c r="D13" s="15"/>
      <c r="E13" s="15">
        <v>1009</v>
      </c>
      <c r="F13" s="15">
        <v>1114</v>
      </c>
      <c r="G13" s="15">
        <v>781</v>
      </c>
      <c r="H13" s="15">
        <v>538</v>
      </c>
      <c r="I13" s="15"/>
      <c r="J13" s="15"/>
      <c r="K13" s="15"/>
      <c r="L13" s="1"/>
      <c r="M13" s="6" t="s">
        <v>26</v>
      </c>
      <c r="N13" s="5">
        <v>2</v>
      </c>
      <c r="O13" s="5">
        <v>2</v>
      </c>
      <c r="P13" s="5">
        <v>70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x14ac:dyDescent="0.2">
      <c r="A14" s="103"/>
      <c r="B14" s="16" t="s">
        <v>41</v>
      </c>
      <c r="C14" s="16"/>
      <c r="D14" s="16">
        <v>1009</v>
      </c>
      <c r="E14" s="16">
        <v>1114</v>
      </c>
      <c r="F14" s="16">
        <v>781</v>
      </c>
      <c r="G14" s="16">
        <v>538</v>
      </c>
      <c r="H14" s="16"/>
      <c r="I14" s="16"/>
      <c r="J14" s="1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8.75" x14ac:dyDescent="0.2">
      <c r="A15" s="114" t="s">
        <v>42</v>
      </c>
      <c r="B15" s="115"/>
      <c r="C15" s="116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8.75" x14ac:dyDescent="0.2">
      <c r="A16" s="114" t="s">
        <v>44</v>
      </c>
      <c r="B16" s="115"/>
      <c r="C16" s="116"/>
      <c r="D16" s="90">
        <f>COUNTIF(D13:K13,"&gt;0")+COUNTIF(D10:K10,"&gt;0")</f>
        <v>5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8.75" x14ac:dyDescent="0.2">
      <c r="A17" s="114" t="s">
        <v>12</v>
      </c>
      <c r="B17" s="115"/>
      <c r="C17" s="116"/>
      <c r="D17" s="93">
        <f>D16*E4</f>
        <v>23500000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8.75" x14ac:dyDescent="0.2">
      <c r="A18" s="114" t="s">
        <v>45</v>
      </c>
      <c r="B18" s="115"/>
      <c r="C18" s="116"/>
      <c r="D18" s="96">
        <f>SUM(D15:K15)+D17</f>
        <v>23500000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">
      <c r="A22" s="87" t="s">
        <v>23</v>
      </c>
      <c r="B22" s="88"/>
      <c r="C22" s="89"/>
      <c r="D22" s="87" t="s">
        <v>56</v>
      </c>
      <c r="E22" s="88"/>
      <c r="F22" s="88"/>
      <c r="G22" s="88"/>
      <c r="H22" s="88"/>
      <c r="I22" s="88"/>
      <c r="J22" s="88"/>
      <c r="K22" s="89"/>
      <c r="L22" s="1"/>
      <c r="M22" s="1"/>
      <c r="N22" s="1"/>
      <c r="O22" s="104" t="s">
        <v>51</v>
      </c>
      <c r="P22" s="104">
        <f>MIN(D18,D33)</f>
        <v>23500000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8.75" x14ac:dyDescent="0.2">
      <c r="A23" s="101" t="s">
        <v>55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5" x14ac:dyDescent="0.2">
      <c r="A24" s="102"/>
      <c r="B24" s="16" t="s">
        <v>37</v>
      </c>
      <c r="C24" s="15"/>
      <c r="D24" s="16">
        <f>'MRP A'!D14*'MRP A'!$N$9</f>
        <v>712</v>
      </c>
      <c r="E24" s="16">
        <f>'MRP A'!E14*'MRP A'!$N$9</f>
        <v>1009</v>
      </c>
      <c r="F24" s="16">
        <f>'MRP A'!F14*'MRP A'!$N$9</f>
        <v>1114</v>
      </c>
      <c r="G24" s="16">
        <f>'MRP A'!G14*'MRP A'!$N$9</f>
        <v>781</v>
      </c>
      <c r="H24" s="16">
        <f>'MRP A'!H14*'MRP A'!$N$9</f>
        <v>538</v>
      </c>
      <c r="I24" s="16">
        <f>'MRP A'!I14*'MRP A'!$N$9</f>
        <v>0</v>
      </c>
      <c r="J24" s="16">
        <f>'MRP A'!J14*'MRP A'!$N$9</f>
        <v>0</v>
      </c>
      <c r="K24" s="16">
        <f>'MRP A'!K14*'MRP A'!$N$9</f>
        <v>0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">
      <c r="A25" s="102"/>
      <c r="B25" s="38" t="s">
        <v>38</v>
      </c>
      <c r="C25" s="15"/>
      <c r="D25" s="15">
        <v>1500</v>
      </c>
      <c r="E25" s="15"/>
      <c r="F25" s="15"/>
      <c r="G25" s="15"/>
      <c r="H25" s="15"/>
      <c r="I25" s="15"/>
      <c r="J25" s="15"/>
      <c r="K25" s="15"/>
      <c r="L25" s="1"/>
      <c r="M25" s="1"/>
      <c r="N25" s="1"/>
      <c r="O25" s="112" t="s">
        <v>35</v>
      </c>
      <c r="P25" s="1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">
      <c r="A26" s="102"/>
      <c r="B26" s="15" t="s">
        <v>5</v>
      </c>
      <c r="C26" s="15">
        <f>$P$9</f>
        <v>40</v>
      </c>
      <c r="D26" s="15">
        <f>C26+D25-D24+D28</f>
        <v>828</v>
      </c>
      <c r="E26" s="15">
        <f t="shared" ref="E26" si="7">D26+E25-E24+E28</f>
        <v>1319</v>
      </c>
      <c r="F26" s="15">
        <f t="shared" ref="F26" si="8">E26+F25-F24+F28</f>
        <v>205</v>
      </c>
      <c r="G26" s="15">
        <f t="shared" ref="G26" si="9">F26+G25-G24+G28</f>
        <v>924</v>
      </c>
      <c r="H26" s="15">
        <f>G26+H25-H24+H28</f>
        <v>386</v>
      </c>
      <c r="I26" s="15">
        <f t="shared" ref="I26" si="10">H26+I25-I24+I28</f>
        <v>386</v>
      </c>
      <c r="J26" s="15">
        <f t="shared" ref="J26" si="11">I26+J25-J24+J28</f>
        <v>386</v>
      </c>
      <c r="K26" s="15">
        <f t="shared" ref="K26" si="12">J26+K25-K24+K28</f>
        <v>386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">
      <c r="A27" s="102"/>
      <c r="B27" s="15" t="s">
        <v>39</v>
      </c>
      <c r="C27" s="15"/>
      <c r="D27" s="15">
        <f t="shared" ref="D27:K27" si="13">MAX(0,-(C26+D25-D24))</f>
        <v>0</v>
      </c>
      <c r="E27" s="15">
        <f t="shared" si="13"/>
        <v>181</v>
      </c>
      <c r="F27" s="15">
        <f t="shared" si="13"/>
        <v>0</v>
      </c>
      <c r="G27" s="15">
        <f t="shared" si="13"/>
        <v>576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">
      <c r="A28" s="102"/>
      <c r="B28" s="38" t="s">
        <v>40</v>
      </c>
      <c r="C28" s="15"/>
      <c r="D28" s="15"/>
      <c r="E28" s="15">
        <v>1500</v>
      </c>
      <c r="F28" s="15"/>
      <c r="G28" s="15">
        <v>1500</v>
      </c>
      <c r="H28" s="15"/>
      <c r="I28" s="15"/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" x14ac:dyDescent="0.2">
      <c r="A29" s="103"/>
      <c r="B29" s="16" t="s">
        <v>41</v>
      </c>
      <c r="C29" s="16"/>
      <c r="D29" s="16">
        <v>1500</v>
      </c>
      <c r="E29" s="16"/>
      <c r="F29" s="16">
        <v>1500</v>
      </c>
      <c r="G29" s="16"/>
      <c r="H29" s="16"/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8.75" x14ac:dyDescent="0.2">
      <c r="A30" s="114" t="s">
        <v>42</v>
      </c>
      <c r="B30" s="115"/>
      <c r="C30" s="116"/>
      <c r="D30" s="15">
        <f>D26*$E$2</f>
        <v>13248000</v>
      </c>
      <c r="E30" s="15">
        <f t="shared" ref="E30:G30" si="14">E26*$E$2</f>
        <v>21104000</v>
      </c>
      <c r="F30" s="15">
        <f t="shared" si="14"/>
        <v>3280000</v>
      </c>
      <c r="G30" s="15">
        <f t="shared" si="14"/>
        <v>14784000</v>
      </c>
      <c r="H30" s="15">
        <f>H26*$E$2</f>
        <v>6176000</v>
      </c>
      <c r="I30" s="15">
        <f t="shared" ref="I30:K30" si="15">I26*$E$2</f>
        <v>6176000</v>
      </c>
      <c r="J30" s="15">
        <f t="shared" si="15"/>
        <v>6176000</v>
      </c>
      <c r="K30" s="15">
        <f t="shared" si="15"/>
        <v>6176000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8.75" x14ac:dyDescent="0.2">
      <c r="A31" s="114" t="s">
        <v>44</v>
      </c>
      <c r="B31" s="115"/>
      <c r="C31" s="116"/>
      <c r="D31" s="90">
        <f>COUNTIF(D28:K28,"&gt;0")+COUNTIF(D25:K25,"&gt;0")</f>
        <v>3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8.75" x14ac:dyDescent="0.2">
      <c r="A32" s="114" t="s">
        <v>12</v>
      </c>
      <c r="B32" s="115"/>
      <c r="C32" s="116"/>
      <c r="D32" s="93">
        <f>D31*$E$4</f>
        <v>14100000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8.75" x14ac:dyDescent="0.2">
      <c r="A33" s="114" t="s">
        <v>45</v>
      </c>
      <c r="B33" s="115"/>
      <c r="C33" s="116"/>
      <c r="D33" s="108">
        <f>SUM(D30:K30)+D32</f>
        <v>91220000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2"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</row>
  </sheetData>
  <sheetProtection algorithmName="SHA-512" hashValue="vjykZ2+wtZhZdKHRaXh75AuJ6KFfqkTI34M2hTPolSzyaCIATXGz0TY6F0e41d2oMLq6d+FtcR2UmwfMn+8oOA==" saltValue="0itm2AZ6vEQdDQnLtv0OOA==" spinCount="100000" sheet="1" objects="1" scenarios="1"/>
  <mergeCells count="23">
    <mergeCell ref="D17:K17"/>
    <mergeCell ref="D18:K18"/>
    <mergeCell ref="A7:C7"/>
    <mergeCell ref="A8:A14"/>
    <mergeCell ref="D16:K16"/>
    <mergeCell ref="A15:C15"/>
    <mergeCell ref="A16:C16"/>
    <mergeCell ref="A17:C17"/>
    <mergeCell ref="A18:C18"/>
    <mergeCell ref="D7:K7"/>
    <mergeCell ref="P22:P24"/>
    <mergeCell ref="O25:P25"/>
    <mergeCell ref="A32:C32"/>
    <mergeCell ref="D32:K32"/>
    <mergeCell ref="A33:C33"/>
    <mergeCell ref="D33:K33"/>
    <mergeCell ref="O22:O24"/>
    <mergeCell ref="A22:C22"/>
    <mergeCell ref="D22:K22"/>
    <mergeCell ref="A23:A29"/>
    <mergeCell ref="A30:C30"/>
    <mergeCell ref="A31:C31"/>
    <mergeCell ref="D31:K31"/>
  </mergeCells>
  <phoneticPr fontId="5" type="noConversion"/>
  <conditionalFormatting sqref="A1:V11 A12:C12 L12:V12 A28:V31 A27:C27 L27:V27 A34:V41 A19:V26 A17:C18 L17:V18 A32:C33 L32:V33 A13:V16">
    <cfRule type="containsBlanks" dxfId="63" priority="9">
      <formula>LEN(TRIM(A1))=0</formula>
    </cfRule>
  </conditionalFormatting>
  <conditionalFormatting sqref="D12:K12">
    <cfRule type="containsBlanks" dxfId="62" priority="8">
      <formula>LEN(TRIM(D12))=0</formula>
    </cfRule>
  </conditionalFormatting>
  <conditionalFormatting sqref="D27:K27">
    <cfRule type="containsBlanks" dxfId="61" priority="7">
      <formula>LEN(TRIM(D27))=0</formula>
    </cfRule>
  </conditionalFormatting>
  <conditionalFormatting sqref="D33:K33">
    <cfRule type="containsBlanks" dxfId="60" priority="6">
      <formula>LEN(TRIM(D33))=0</formula>
    </cfRule>
  </conditionalFormatting>
  <conditionalFormatting sqref="D18:K18">
    <cfRule type="containsBlanks" dxfId="59" priority="5">
      <formula>LEN(TRIM(D18))=0</formula>
    </cfRule>
  </conditionalFormatting>
  <conditionalFormatting sqref="D17:K17">
    <cfRule type="containsBlanks" dxfId="58" priority="4">
      <formula>LEN(TRIM(D17))=0</formula>
    </cfRule>
  </conditionalFormatting>
  <conditionalFormatting sqref="D17:K17">
    <cfRule type="cellIs" dxfId="57" priority="3" operator="equal">
      <formula>0</formula>
    </cfRule>
  </conditionalFormatting>
  <conditionalFormatting sqref="D32:K32">
    <cfRule type="containsBlanks" dxfId="56" priority="2">
      <formula>LEN(TRIM(D32))=0</formula>
    </cfRule>
  </conditionalFormatting>
  <conditionalFormatting sqref="D32:K32">
    <cfRule type="cellIs" dxfId="55" priority="1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988A-2F65-4F73-8BB9-8ACED4A99DF3}">
  <sheetPr>
    <tabColor theme="7" tint="-0.249977111117893"/>
  </sheetPr>
  <dimension ref="A1:CB269"/>
  <sheetViews>
    <sheetView rightToLeft="1" topLeftCell="A4" zoomScale="85" zoomScaleNormal="85" workbookViewId="0">
      <selection activeCell="D10" sqref="D10:K14"/>
    </sheetView>
  </sheetViews>
  <sheetFormatPr defaultRowHeight="14.25" x14ac:dyDescent="0.2"/>
  <cols>
    <col min="21" max="21" width="255.625" customWidth="1"/>
  </cols>
  <sheetData>
    <row r="1" spans="1:8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20</v>
      </c>
      <c r="N6" s="3" t="s">
        <v>27</v>
      </c>
      <c r="O6" s="3" t="s">
        <v>28</v>
      </c>
      <c r="P6" s="3" t="s">
        <v>29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15" x14ac:dyDescent="0.25">
      <c r="A7" s="99" t="s">
        <v>24</v>
      </c>
      <c r="B7" s="99"/>
      <c r="C7" s="99"/>
      <c r="D7" s="99"/>
      <c r="E7" s="117" t="s">
        <v>47</v>
      </c>
      <c r="F7" s="118"/>
      <c r="G7" s="118"/>
      <c r="H7" s="118"/>
      <c r="I7" s="118"/>
      <c r="J7" s="118"/>
      <c r="K7" s="118"/>
      <c r="L7" s="1"/>
      <c r="M7" s="4" t="s">
        <v>4</v>
      </c>
      <c r="N7" s="5" t="s">
        <v>30</v>
      </c>
      <c r="O7" s="5">
        <v>1</v>
      </c>
      <c r="P7" s="5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6" t="s">
        <v>21</v>
      </c>
      <c r="N8" s="5">
        <v>1</v>
      </c>
      <c r="O8" s="5">
        <v>2</v>
      </c>
      <c r="P8" s="5">
        <v>60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15" x14ac:dyDescent="0.25">
      <c r="A9" s="102"/>
      <c r="B9" s="16" t="s">
        <v>37</v>
      </c>
      <c r="C9" s="15"/>
      <c r="D9" s="16">
        <f>Vulcan10!D14*Vulcan10!$N$12</f>
        <v>692</v>
      </c>
      <c r="E9" s="16">
        <f>Vulcan10!E14*Vulcan10!$N$12</f>
        <v>715</v>
      </c>
      <c r="F9" s="16">
        <f>Vulcan10!F14*Vulcan10!$N$12</f>
        <v>712</v>
      </c>
      <c r="G9" s="16">
        <f>Vulcan10!G14*Vulcan10!$N$12</f>
        <v>1009</v>
      </c>
      <c r="H9" s="16">
        <f>Vulcan10!H14*Vulcan10!$N$12</f>
        <v>1114</v>
      </c>
      <c r="I9" s="16">
        <f>Vulcan10!I14*Vulcan10!$N$12</f>
        <v>781</v>
      </c>
      <c r="J9" s="16">
        <f>Vulcan10!J14*Vulcan10!$N$12</f>
        <v>538</v>
      </c>
      <c r="K9" s="16">
        <f>Vulcan10!K14*Vulcan10!$N$12</f>
        <v>0</v>
      </c>
      <c r="L9" s="1"/>
      <c r="M9" s="7" t="s">
        <v>22</v>
      </c>
      <c r="N9" s="5">
        <v>1</v>
      </c>
      <c r="O9" s="5">
        <v>2</v>
      </c>
      <c r="P9" s="5">
        <v>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ht="15" x14ac:dyDescent="0.25">
      <c r="A10" s="102"/>
      <c r="B10" s="38" t="s">
        <v>38</v>
      </c>
      <c r="C10" s="15"/>
      <c r="D10" s="15">
        <f>D9-C11</f>
        <v>632</v>
      </c>
      <c r="E10" s="15">
        <v>715</v>
      </c>
      <c r="F10" s="15"/>
      <c r="G10" s="15"/>
      <c r="H10" s="15"/>
      <c r="I10" s="15"/>
      <c r="J10" s="15"/>
      <c r="K10" s="15"/>
      <c r="L10" s="1"/>
      <c r="M10" s="7" t="s">
        <v>23</v>
      </c>
      <c r="N10" s="5">
        <v>1</v>
      </c>
      <c r="O10" s="5">
        <v>1</v>
      </c>
      <c r="P10" s="5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15" x14ac:dyDescent="0.25">
      <c r="A11" s="102"/>
      <c r="B11" s="15" t="s">
        <v>5</v>
      </c>
      <c r="C11" s="15">
        <f>$P$8</f>
        <v>60</v>
      </c>
      <c r="D11" s="15">
        <f>C11+D10-D9+D13</f>
        <v>0</v>
      </c>
      <c r="E11" s="15">
        <f t="shared" ref="E11:G11" si="0">D11+E10-E9+E13</f>
        <v>0</v>
      </c>
      <c r="F11" s="15">
        <f t="shared" si="0"/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6" t="s">
        <v>24</v>
      </c>
      <c r="N11" s="5">
        <v>1</v>
      </c>
      <c r="O11" s="5">
        <v>2</v>
      </c>
      <c r="P11" s="5">
        <v>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 t="shared" si="4"/>
        <v>0</v>
      </c>
      <c r="F12" s="15">
        <f t="shared" si="4"/>
        <v>712</v>
      </c>
      <c r="G12" s="15">
        <f t="shared" si="4"/>
        <v>1009</v>
      </c>
      <c r="H12" s="15">
        <f t="shared" si="4"/>
        <v>1114</v>
      </c>
      <c r="I12" s="15">
        <f t="shared" si="4"/>
        <v>781</v>
      </c>
      <c r="J12" s="15">
        <f t="shared" si="4"/>
        <v>538</v>
      </c>
      <c r="K12" s="15">
        <f t="shared" si="4"/>
        <v>0</v>
      </c>
      <c r="L12" s="1"/>
      <c r="M12" s="6" t="s">
        <v>25</v>
      </c>
      <c r="N12" s="5">
        <v>2</v>
      </c>
      <c r="O12" s="5">
        <v>3</v>
      </c>
      <c r="P12" s="5">
        <v>80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ht="15" x14ac:dyDescent="0.25">
      <c r="A13" s="102"/>
      <c r="B13" s="38" t="s">
        <v>40</v>
      </c>
      <c r="C13" s="15"/>
      <c r="D13" s="15"/>
      <c r="E13" s="15"/>
      <c r="F13" s="15">
        <v>712</v>
      </c>
      <c r="G13" s="15">
        <v>1009</v>
      </c>
      <c r="H13" s="15">
        <v>1114</v>
      </c>
      <c r="I13" s="15">
        <v>781</v>
      </c>
      <c r="J13" s="15">
        <v>538</v>
      </c>
      <c r="K13" s="15"/>
      <c r="L13" s="1"/>
      <c r="M13" s="6" t="s">
        <v>26</v>
      </c>
      <c r="N13" s="5">
        <v>2</v>
      </c>
      <c r="O13" s="5">
        <v>2</v>
      </c>
      <c r="P13" s="5">
        <v>70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ht="15" x14ac:dyDescent="0.2">
      <c r="A14" s="103"/>
      <c r="B14" s="16" t="s">
        <v>41</v>
      </c>
      <c r="C14" s="16"/>
      <c r="D14" s="16">
        <v>712</v>
      </c>
      <c r="E14" s="16">
        <v>1009</v>
      </c>
      <c r="F14" s="16">
        <v>1114</v>
      </c>
      <c r="G14" s="16">
        <v>781</v>
      </c>
      <c r="H14" s="16">
        <v>538</v>
      </c>
      <c r="I14" s="16"/>
      <c r="J14" s="1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ht="18.75" x14ac:dyDescent="0.2">
      <c r="A15" s="100" t="s">
        <v>42</v>
      </c>
      <c r="B15" s="100"/>
      <c r="C15" s="100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ht="18.75" x14ac:dyDescent="0.2">
      <c r="A16" s="100" t="s">
        <v>44</v>
      </c>
      <c r="B16" s="100"/>
      <c r="C16" s="100"/>
      <c r="D16" s="90">
        <f>COUNTIF(D13:K13,"&gt;0")+COUNTIF(D10:K10,"&gt;0")</f>
        <v>7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ht="18.75" x14ac:dyDescent="0.2">
      <c r="A17" s="100" t="s">
        <v>12</v>
      </c>
      <c r="B17" s="100"/>
      <c r="C17" s="100"/>
      <c r="D17" s="93">
        <f>D16*E4</f>
        <v>32900000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ht="18.75" x14ac:dyDescent="0.2">
      <c r="A18" s="100" t="s">
        <v>45</v>
      </c>
      <c r="B18" s="100"/>
      <c r="C18" s="100"/>
      <c r="D18" s="96">
        <f>SUM(D15:K15)+D17</f>
        <v>32900000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x14ac:dyDescent="0.2">
      <c r="A22" s="99" t="s">
        <v>24</v>
      </c>
      <c r="B22" s="99"/>
      <c r="C22" s="99"/>
      <c r="D22" s="99"/>
      <c r="E22" s="117" t="s">
        <v>57</v>
      </c>
      <c r="F22" s="118"/>
      <c r="G22" s="118"/>
      <c r="H22" s="118"/>
      <c r="I22" s="118"/>
      <c r="J22" s="118"/>
      <c r="K22" s="118"/>
      <c r="L22" s="1"/>
      <c r="M22" s="1"/>
      <c r="N22" s="1"/>
      <c r="O22" s="104" t="s">
        <v>51</v>
      </c>
      <c r="P22" s="104">
        <f>MIN(D18,D33)</f>
        <v>32900000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ht="18.75" x14ac:dyDescent="0.2">
      <c r="A23" s="101" t="s">
        <v>55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ht="15" x14ac:dyDescent="0.2">
      <c r="A24" s="102"/>
      <c r="B24" s="16" t="s">
        <v>37</v>
      </c>
      <c r="C24" s="15"/>
      <c r="D24" s="16">
        <f>Vulcan10!D14*Vulcan10!$N$12</f>
        <v>692</v>
      </c>
      <c r="E24" s="16">
        <f>Vulcan10!E14*Vulcan10!$N$12</f>
        <v>715</v>
      </c>
      <c r="F24" s="16">
        <f>Vulcan10!F14*Vulcan10!$N$12</f>
        <v>712</v>
      </c>
      <c r="G24" s="16">
        <f>Vulcan10!G14*Vulcan10!$N$12</f>
        <v>1009</v>
      </c>
      <c r="H24" s="16">
        <f>Vulcan10!H14*Vulcan10!$N$12</f>
        <v>1114</v>
      </c>
      <c r="I24" s="16">
        <f>Vulcan10!I14*Vulcan10!$N$12</f>
        <v>781</v>
      </c>
      <c r="J24" s="16">
        <f>Vulcan10!J14*Vulcan10!$N$12</f>
        <v>538</v>
      </c>
      <c r="K24" s="16">
        <f>Vulcan10!K14*Vulcan10!$N$12</f>
        <v>0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">
      <c r="A25" s="102"/>
      <c r="B25" s="38" t="s">
        <v>38</v>
      </c>
      <c r="C25" s="15"/>
      <c r="D25" s="15">
        <v>2500</v>
      </c>
      <c r="E25" s="15"/>
      <c r="F25" s="15"/>
      <c r="G25" s="15"/>
      <c r="H25" s="15"/>
      <c r="I25" s="15"/>
      <c r="J25" s="15"/>
      <c r="K25" s="15"/>
      <c r="L25" s="1"/>
      <c r="M25" s="1"/>
      <c r="N25" s="1"/>
      <c r="O25" s="112" t="s">
        <v>35</v>
      </c>
      <c r="P25" s="1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">
      <c r="A26" s="102"/>
      <c r="B26" s="15" t="s">
        <v>5</v>
      </c>
      <c r="C26" s="15">
        <f>$P$8</f>
        <v>60</v>
      </c>
      <c r="D26" s="15">
        <f>C26+D25-D24+D28</f>
        <v>1868</v>
      </c>
      <c r="E26" s="15">
        <f t="shared" ref="E26" si="7">D26+E25-E24+E28</f>
        <v>1153</v>
      </c>
      <c r="F26" s="15">
        <f t="shared" ref="F26" si="8">E26+F25-F24+F28</f>
        <v>441</v>
      </c>
      <c r="G26" s="15">
        <f t="shared" ref="G26" si="9">F26+G25-G24+G28</f>
        <v>1932</v>
      </c>
      <c r="H26" s="15">
        <f>G26+H25-H24+H28</f>
        <v>818</v>
      </c>
      <c r="I26" s="15">
        <f t="shared" ref="I26" si="10">H26+I25-I24+I28</f>
        <v>37</v>
      </c>
      <c r="J26" s="15">
        <f t="shared" ref="J26" si="11">I26+J25-J24+J28</f>
        <v>1999</v>
      </c>
      <c r="K26" s="15">
        <f t="shared" ref="K26" si="12">J26+K25-K24+K28</f>
        <v>1999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">
      <c r="A27" s="102"/>
      <c r="B27" s="15" t="s">
        <v>39</v>
      </c>
      <c r="C27" s="15"/>
      <c r="D27" s="15">
        <f t="shared" ref="D27:K27" si="13">MAX(0,-(C26+D25-D24))</f>
        <v>0</v>
      </c>
      <c r="E27" s="15">
        <f t="shared" si="13"/>
        <v>0</v>
      </c>
      <c r="F27" s="15">
        <f t="shared" si="13"/>
        <v>0</v>
      </c>
      <c r="G27" s="15">
        <f t="shared" si="13"/>
        <v>568</v>
      </c>
      <c r="H27" s="15">
        <f t="shared" si="13"/>
        <v>0</v>
      </c>
      <c r="I27" s="15">
        <f t="shared" si="13"/>
        <v>0</v>
      </c>
      <c r="J27" s="15">
        <f t="shared" si="13"/>
        <v>501</v>
      </c>
      <c r="K27" s="15">
        <f t="shared" si="1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">
      <c r="A28" s="102"/>
      <c r="B28" s="38" t="s">
        <v>40</v>
      </c>
      <c r="C28" s="15"/>
      <c r="D28" s="15"/>
      <c r="E28" s="15"/>
      <c r="F28" s="15"/>
      <c r="G28" s="15">
        <v>2500</v>
      </c>
      <c r="H28" s="15"/>
      <c r="I28" s="15"/>
      <c r="J28" s="15">
        <v>2500</v>
      </c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ht="15" x14ac:dyDescent="0.2">
      <c r="A29" s="103"/>
      <c r="B29" s="16" t="s">
        <v>41</v>
      </c>
      <c r="C29" s="16"/>
      <c r="D29" s="16"/>
      <c r="E29" s="16">
        <v>2500</v>
      </c>
      <c r="F29" s="16"/>
      <c r="G29" s="16"/>
      <c r="H29" s="16">
        <v>2500</v>
      </c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ht="18.75" x14ac:dyDescent="0.2">
      <c r="A30" s="100" t="s">
        <v>42</v>
      </c>
      <c r="B30" s="100"/>
      <c r="C30" s="100"/>
      <c r="D30" s="15">
        <f>D26*$E$2</f>
        <v>29888000</v>
      </c>
      <c r="E30" s="15">
        <f t="shared" ref="E30:G30" si="14">E26*$E$2</f>
        <v>18448000</v>
      </c>
      <c r="F30" s="15">
        <f t="shared" si="14"/>
        <v>7056000</v>
      </c>
      <c r="G30" s="15">
        <f t="shared" si="14"/>
        <v>30912000</v>
      </c>
      <c r="H30" s="15">
        <f>H26*$E$2</f>
        <v>13088000</v>
      </c>
      <c r="I30" s="15">
        <f t="shared" ref="I30:K30" si="15">I26*$E$2</f>
        <v>592000</v>
      </c>
      <c r="J30" s="15">
        <f t="shared" si="15"/>
        <v>31984000</v>
      </c>
      <c r="K30" s="15">
        <f t="shared" si="15"/>
        <v>31984000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ht="18.75" x14ac:dyDescent="0.2">
      <c r="A31" s="100" t="s">
        <v>44</v>
      </c>
      <c r="B31" s="100"/>
      <c r="C31" s="100"/>
      <c r="D31" s="90">
        <f>COUNTIF(D28:K28,"&gt;0")+COUNTIF(D25:K25,"&gt;0")</f>
        <v>3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ht="18.75" x14ac:dyDescent="0.2">
      <c r="A32" s="100" t="s">
        <v>12</v>
      </c>
      <c r="B32" s="100"/>
      <c r="C32" s="100"/>
      <c r="D32" s="93">
        <f>D31*$E$4</f>
        <v>14100000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ht="18.75" x14ac:dyDescent="0.2">
      <c r="A33" s="100" t="s">
        <v>45</v>
      </c>
      <c r="B33" s="100"/>
      <c r="C33" s="100"/>
      <c r="D33" s="108">
        <f>SUM(D30:K30)+D32</f>
        <v>178052000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8"/>
    </row>
    <row r="44" spans="1:8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8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8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8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8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</sheetData>
  <sheetProtection algorithmName="SHA-512" hashValue="J29c8w641BuNVchFdTRIvJ4x85eY6jfgR94WcGSnaylT6sVIhxbfd9AG5k4H5u9MtpMPfHSBIp+FDmF3RBRzXw==" saltValue="Vn7UnkTggbGAcJthAPJkbA==" spinCount="100000" sheet="1" objects="1" scenarios="1"/>
  <mergeCells count="23">
    <mergeCell ref="E7:K7"/>
    <mergeCell ref="D16:K16"/>
    <mergeCell ref="D17:K17"/>
    <mergeCell ref="D18:K18"/>
    <mergeCell ref="A17:C17"/>
    <mergeCell ref="A18:C18"/>
    <mergeCell ref="A7:D7"/>
    <mergeCell ref="A8:A14"/>
    <mergeCell ref="A15:C15"/>
    <mergeCell ref="A16:C16"/>
    <mergeCell ref="P22:P24"/>
    <mergeCell ref="O25:P25"/>
    <mergeCell ref="A32:C32"/>
    <mergeCell ref="D32:K32"/>
    <mergeCell ref="A33:C33"/>
    <mergeCell ref="D33:K33"/>
    <mergeCell ref="O22:O24"/>
    <mergeCell ref="A22:D22"/>
    <mergeCell ref="E22:K22"/>
    <mergeCell ref="A23:A29"/>
    <mergeCell ref="A30:C30"/>
    <mergeCell ref="A31:C31"/>
    <mergeCell ref="D31:K31"/>
  </mergeCells>
  <phoneticPr fontId="5" type="noConversion"/>
  <conditionalFormatting sqref="A1:U11 A13:U16 A12:C12 L12:U12 A28:U31 A27:C27 L27:U27 A34:U45 A19:U26 A17:C18 L17:U18 A32:C33 L32:U33">
    <cfRule type="containsBlanks" dxfId="54" priority="9">
      <formula>LEN(TRIM(A1))=0</formula>
    </cfRule>
  </conditionalFormatting>
  <conditionalFormatting sqref="D12:K12">
    <cfRule type="containsBlanks" dxfId="53" priority="8">
      <formula>LEN(TRIM(D12))=0</formula>
    </cfRule>
  </conditionalFormatting>
  <conditionalFormatting sqref="D27:K27">
    <cfRule type="containsBlanks" dxfId="52" priority="7">
      <formula>LEN(TRIM(D27))=0</formula>
    </cfRule>
  </conditionalFormatting>
  <conditionalFormatting sqref="D33:K33">
    <cfRule type="containsBlanks" dxfId="51" priority="6">
      <formula>LEN(TRIM(D33))=0</formula>
    </cfRule>
  </conditionalFormatting>
  <conditionalFormatting sqref="D18:K18">
    <cfRule type="containsBlanks" dxfId="50" priority="5">
      <formula>LEN(TRIM(D18))=0</formula>
    </cfRule>
  </conditionalFormatting>
  <conditionalFormatting sqref="D17:K17">
    <cfRule type="containsBlanks" dxfId="49" priority="4">
      <formula>LEN(TRIM(D17))=0</formula>
    </cfRule>
  </conditionalFormatting>
  <conditionalFormatting sqref="D17:K17">
    <cfRule type="cellIs" dxfId="48" priority="3" operator="equal">
      <formula>0</formula>
    </cfRule>
  </conditionalFormatting>
  <conditionalFormatting sqref="D32:K32">
    <cfRule type="containsBlanks" dxfId="47" priority="2">
      <formula>LEN(TRIM(D32))=0</formula>
    </cfRule>
  </conditionalFormatting>
  <conditionalFormatting sqref="D32:K32">
    <cfRule type="cellIs" dxfId="46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3285-D933-476F-A6CF-03A53853ABAA}">
  <sheetPr>
    <tabColor theme="7" tint="-0.249977111117893"/>
  </sheetPr>
  <dimension ref="A1:BF235"/>
  <sheetViews>
    <sheetView rightToLeft="1" zoomScale="85" zoomScaleNormal="85" workbookViewId="0">
      <selection activeCell="L25" sqref="L25"/>
    </sheetView>
  </sheetViews>
  <sheetFormatPr defaultRowHeight="14.25" x14ac:dyDescent="0.2"/>
  <cols>
    <col min="21" max="21" width="255.625" customWidth="1"/>
  </cols>
  <sheetData>
    <row r="1" spans="1:5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20</v>
      </c>
      <c r="N6" s="3" t="s">
        <v>27</v>
      </c>
      <c r="O6" s="3" t="s">
        <v>28</v>
      </c>
      <c r="P6" s="3" t="s">
        <v>29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5" x14ac:dyDescent="0.25">
      <c r="A7" s="99" t="s">
        <v>25</v>
      </c>
      <c r="B7" s="99"/>
      <c r="C7" s="99"/>
      <c r="D7" s="99"/>
      <c r="E7" s="117" t="s">
        <v>48</v>
      </c>
      <c r="F7" s="118"/>
      <c r="G7" s="118"/>
      <c r="H7" s="118"/>
      <c r="I7" s="118"/>
      <c r="J7" s="118"/>
      <c r="K7" s="118"/>
      <c r="L7" s="1"/>
      <c r="M7" s="4" t="s">
        <v>4</v>
      </c>
      <c r="N7" s="5" t="s">
        <v>30</v>
      </c>
      <c r="O7" s="5">
        <v>1</v>
      </c>
      <c r="P7" s="5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6" t="s">
        <v>21</v>
      </c>
      <c r="N8" s="5">
        <v>1</v>
      </c>
      <c r="O8" s="5">
        <v>2</v>
      </c>
      <c r="P8" s="5">
        <v>60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5" x14ac:dyDescent="0.25">
      <c r="A9" s="102"/>
      <c r="B9" s="16" t="s">
        <v>37</v>
      </c>
      <c r="C9" s="15"/>
      <c r="D9" s="16">
        <f>Vulcan10!D14*Vulcan10!$N$13</f>
        <v>1384</v>
      </c>
      <c r="E9" s="16">
        <f>Vulcan10!E14*Vulcan10!$N$13</f>
        <v>1430</v>
      </c>
      <c r="F9" s="16">
        <f>Vulcan10!F14*Vulcan10!$N$13</f>
        <v>1424</v>
      </c>
      <c r="G9" s="16">
        <f>Vulcan10!G14*Vulcan10!$N$13</f>
        <v>2018</v>
      </c>
      <c r="H9" s="16">
        <f>Vulcan10!H14*Vulcan10!$N$13</f>
        <v>2228</v>
      </c>
      <c r="I9" s="16">
        <f>Vulcan10!I14*Vulcan10!$N$13</f>
        <v>1562</v>
      </c>
      <c r="J9" s="16">
        <f>Vulcan10!J14*Vulcan10!$N$13</f>
        <v>1076</v>
      </c>
      <c r="K9" s="16">
        <f>Vulcan10!K14*Vulcan10!$N$13</f>
        <v>0</v>
      </c>
      <c r="L9" s="1"/>
      <c r="M9" s="7" t="s">
        <v>22</v>
      </c>
      <c r="N9" s="5">
        <v>1</v>
      </c>
      <c r="O9" s="5">
        <v>2</v>
      </c>
      <c r="P9" s="5">
        <v>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15" x14ac:dyDescent="0.25">
      <c r="A10" s="102"/>
      <c r="B10" s="38" t="s">
        <v>38</v>
      </c>
      <c r="C10" s="15"/>
      <c r="D10" s="15">
        <f>D9-C11</f>
        <v>1304</v>
      </c>
      <c r="E10" s="15">
        <f>E9</f>
        <v>1430</v>
      </c>
      <c r="F10" s="15">
        <f>F9</f>
        <v>1424</v>
      </c>
      <c r="G10" s="15"/>
      <c r="H10" s="15"/>
      <c r="I10" s="15"/>
      <c r="J10" s="15"/>
      <c r="K10" s="15"/>
      <c r="L10" s="1"/>
      <c r="M10" s="7" t="s">
        <v>23</v>
      </c>
      <c r="N10" s="5">
        <v>1</v>
      </c>
      <c r="O10" s="5">
        <v>1</v>
      </c>
      <c r="P10" s="5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5" x14ac:dyDescent="0.25">
      <c r="A11" s="102"/>
      <c r="B11" s="15" t="s">
        <v>5</v>
      </c>
      <c r="C11" s="15">
        <f>$P$12</f>
        <v>80</v>
      </c>
      <c r="D11" s="15">
        <f>C11+D10-D9+D13</f>
        <v>0</v>
      </c>
      <c r="E11" s="15">
        <f>D11+E10-E9+E13</f>
        <v>0</v>
      </c>
      <c r="F11" s="15">
        <f>E11+F10-F9+F13</f>
        <v>0</v>
      </c>
      <c r="G11" s="15">
        <f t="shared" ref="G11" si="0">F11+G10-G9+G13</f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6" t="s">
        <v>24</v>
      </c>
      <c r="N11" s="5">
        <v>1</v>
      </c>
      <c r="O11" s="5">
        <v>2</v>
      </c>
      <c r="P11" s="5">
        <v>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>MAX(0,-(D11+E10-E9))</f>
        <v>0</v>
      </c>
      <c r="F12" s="15">
        <f>MAX(0,-(E11+F10-F9))</f>
        <v>0</v>
      </c>
      <c r="G12" s="15">
        <f t="shared" si="4"/>
        <v>2018</v>
      </c>
      <c r="H12" s="15">
        <f t="shared" si="4"/>
        <v>2228</v>
      </c>
      <c r="I12" s="15">
        <f t="shared" si="4"/>
        <v>1562</v>
      </c>
      <c r="J12" s="15">
        <f t="shared" si="4"/>
        <v>1076</v>
      </c>
      <c r="K12" s="15">
        <f t="shared" si="4"/>
        <v>0</v>
      </c>
      <c r="L12" s="1"/>
      <c r="M12" s="6" t="s">
        <v>25</v>
      </c>
      <c r="N12" s="5">
        <v>2</v>
      </c>
      <c r="O12" s="5">
        <v>3</v>
      </c>
      <c r="P12" s="5">
        <v>80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5" x14ac:dyDescent="0.25">
      <c r="A13" s="102"/>
      <c r="B13" s="38" t="s">
        <v>40</v>
      </c>
      <c r="C13" s="15"/>
      <c r="D13" s="15"/>
      <c r="E13" s="15"/>
      <c r="F13" s="15"/>
      <c r="G13" s="15">
        <v>2018</v>
      </c>
      <c r="H13" s="15">
        <v>2228</v>
      </c>
      <c r="I13" s="15">
        <v>1562</v>
      </c>
      <c r="J13" s="15">
        <v>1076</v>
      </c>
      <c r="K13" s="15"/>
      <c r="L13" s="1"/>
      <c r="M13" s="6" t="s">
        <v>26</v>
      </c>
      <c r="N13" s="5">
        <v>2</v>
      </c>
      <c r="O13" s="5">
        <v>2</v>
      </c>
      <c r="P13" s="5">
        <v>70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5" x14ac:dyDescent="0.2">
      <c r="A14" s="103"/>
      <c r="B14" s="16" t="s">
        <v>41</v>
      </c>
      <c r="C14" s="16"/>
      <c r="D14" s="16">
        <v>2018</v>
      </c>
      <c r="E14" s="16">
        <v>2228</v>
      </c>
      <c r="F14" s="16">
        <v>1562</v>
      </c>
      <c r="G14" s="16">
        <v>1076</v>
      </c>
      <c r="H14" s="16"/>
      <c r="I14" s="16"/>
      <c r="J14" s="1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8.75" x14ac:dyDescent="0.2">
      <c r="A15" s="100" t="s">
        <v>42</v>
      </c>
      <c r="B15" s="100"/>
      <c r="C15" s="100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8.75" x14ac:dyDescent="0.2">
      <c r="A16" s="100" t="s">
        <v>44</v>
      </c>
      <c r="B16" s="100"/>
      <c r="C16" s="100"/>
      <c r="D16" s="90">
        <f>COUNTIF(D13:K13,"&gt;0")+COUNTIF(D10:K10,"&gt;0")</f>
        <v>7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8.75" x14ac:dyDescent="0.2">
      <c r="A17" s="100" t="s">
        <v>12</v>
      </c>
      <c r="B17" s="100"/>
      <c r="C17" s="100"/>
      <c r="D17" s="93">
        <f>D16*E4</f>
        <v>32900000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8.75" x14ac:dyDescent="0.2">
      <c r="A18" s="100" t="s">
        <v>45</v>
      </c>
      <c r="B18" s="100"/>
      <c r="C18" s="100"/>
      <c r="D18" s="96">
        <f>SUM(D15:K15)+D17</f>
        <v>32900000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">
      <c r="A22" s="99" t="s">
        <v>25</v>
      </c>
      <c r="B22" s="99"/>
      <c r="C22" s="99"/>
      <c r="D22" s="99"/>
      <c r="E22" s="117" t="s">
        <v>58</v>
      </c>
      <c r="F22" s="118"/>
      <c r="G22" s="118"/>
      <c r="H22" s="118"/>
      <c r="I22" s="118"/>
      <c r="J22" s="118"/>
      <c r="K22" s="118"/>
      <c r="L22" s="1"/>
      <c r="M22" s="1"/>
      <c r="N22" s="1"/>
      <c r="O22" s="104" t="s">
        <v>51</v>
      </c>
      <c r="P22" s="104">
        <f>MIN(D18,D33)</f>
        <v>32900000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8.75" x14ac:dyDescent="0.2">
      <c r="A23" s="111" t="s">
        <v>59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" x14ac:dyDescent="0.2">
      <c r="A24" s="102"/>
      <c r="B24" s="16" t="s">
        <v>37</v>
      </c>
      <c r="C24" s="15"/>
      <c r="D24" s="16">
        <f>Vulcan10!D14*Vulcan10!$N$13</f>
        <v>1384</v>
      </c>
      <c r="E24" s="16">
        <f>Vulcan10!E14*Vulcan10!$N$13</f>
        <v>1430</v>
      </c>
      <c r="F24" s="16">
        <f>Vulcan10!F14*Vulcan10!$N$13</f>
        <v>1424</v>
      </c>
      <c r="G24" s="16">
        <f>Vulcan10!G14*Vulcan10!$N$13</f>
        <v>2018</v>
      </c>
      <c r="H24" s="16">
        <f>Vulcan10!H14*Vulcan10!$N$13</f>
        <v>2228</v>
      </c>
      <c r="I24" s="16">
        <f>Vulcan10!I14*Vulcan10!$N$13</f>
        <v>1562</v>
      </c>
      <c r="J24" s="16">
        <f>Vulcan10!J14*Vulcan10!$N$13</f>
        <v>1076</v>
      </c>
      <c r="K24" s="16">
        <f>Vulcan10!K14*Vulcan10!$N$13</f>
        <v>0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x14ac:dyDescent="0.2">
      <c r="A25" s="102"/>
      <c r="B25" s="38" t="s">
        <v>38</v>
      </c>
      <c r="C25" s="15"/>
      <c r="D25" s="15">
        <v>2500</v>
      </c>
      <c r="E25" s="15">
        <v>2500</v>
      </c>
      <c r="F25" s="15"/>
      <c r="G25" s="15"/>
      <c r="H25" s="15"/>
      <c r="I25" s="15"/>
      <c r="J25" s="15"/>
      <c r="K25" s="15"/>
      <c r="L25" s="1"/>
      <c r="M25" s="1"/>
      <c r="N25" s="1"/>
      <c r="O25" s="112" t="s">
        <v>35</v>
      </c>
      <c r="P25" s="1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">
      <c r="A26" s="102"/>
      <c r="B26" s="15" t="s">
        <v>5</v>
      </c>
      <c r="C26" s="15">
        <f>$P$12</f>
        <v>80</v>
      </c>
      <c r="D26" s="15">
        <f>C26+D25-D24+D28</f>
        <v>1196</v>
      </c>
      <c r="E26" s="15">
        <f t="shared" ref="E26" si="7">D26+E25-E24+E28</f>
        <v>2266</v>
      </c>
      <c r="F26" s="15">
        <f t="shared" ref="F26" si="8">E26+F25-F24+F28</f>
        <v>842</v>
      </c>
      <c r="G26" s="15">
        <f t="shared" ref="G26" si="9">F26+G25-G24+G28</f>
        <v>1324</v>
      </c>
      <c r="H26" s="15">
        <f>G26+H25-H24+H28</f>
        <v>1596</v>
      </c>
      <c r="I26" s="15">
        <f t="shared" ref="I26" si="10">H26+I25-I24+I28</f>
        <v>34</v>
      </c>
      <c r="J26" s="15">
        <f t="shared" ref="J26" si="11">I26+J25-J24+J28</f>
        <v>1458</v>
      </c>
      <c r="K26" s="15">
        <f t="shared" ref="K26" si="12">J26+K25-K24+K28</f>
        <v>1458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x14ac:dyDescent="0.2">
      <c r="A27" s="102"/>
      <c r="B27" s="15" t="s">
        <v>39</v>
      </c>
      <c r="C27" s="15"/>
      <c r="D27" s="15">
        <f t="shared" ref="D27:K27" si="13">MAX(0,-(C26+D25-D24))</f>
        <v>0</v>
      </c>
      <c r="E27" s="15">
        <f t="shared" si="13"/>
        <v>0</v>
      </c>
      <c r="F27" s="15">
        <f t="shared" si="13"/>
        <v>0</v>
      </c>
      <c r="G27" s="15">
        <f t="shared" si="13"/>
        <v>1176</v>
      </c>
      <c r="H27" s="15">
        <f t="shared" si="13"/>
        <v>904</v>
      </c>
      <c r="I27" s="15">
        <f t="shared" si="13"/>
        <v>0</v>
      </c>
      <c r="J27" s="15">
        <f t="shared" si="13"/>
        <v>1042</v>
      </c>
      <c r="K27" s="15">
        <f t="shared" si="1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x14ac:dyDescent="0.2">
      <c r="A28" s="102"/>
      <c r="B28" s="38" t="s">
        <v>40</v>
      </c>
      <c r="C28" s="15"/>
      <c r="D28" s="15"/>
      <c r="E28" s="15"/>
      <c r="F28" s="15"/>
      <c r="G28" s="15">
        <v>2500</v>
      </c>
      <c r="H28" s="15">
        <v>2500</v>
      </c>
      <c r="I28" s="15"/>
      <c r="J28" s="15">
        <v>2500</v>
      </c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5" x14ac:dyDescent="0.2">
      <c r="A29" s="103"/>
      <c r="B29" s="16" t="s">
        <v>41</v>
      </c>
      <c r="C29" s="16"/>
      <c r="D29" s="16">
        <v>2500</v>
      </c>
      <c r="E29" s="16">
        <v>2500</v>
      </c>
      <c r="F29" s="16"/>
      <c r="G29" s="16">
        <v>2500</v>
      </c>
      <c r="H29" s="16"/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8.75" x14ac:dyDescent="0.2">
      <c r="A30" s="100" t="s">
        <v>42</v>
      </c>
      <c r="B30" s="100"/>
      <c r="C30" s="100"/>
      <c r="D30" s="15">
        <f>D26*$E$2</f>
        <v>19136000</v>
      </c>
      <c r="E30" s="15">
        <f t="shared" ref="E30:G30" si="14">E26*$E$2</f>
        <v>36256000</v>
      </c>
      <c r="F30" s="15">
        <f t="shared" si="14"/>
        <v>13472000</v>
      </c>
      <c r="G30" s="15">
        <f t="shared" si="14"/>
        <v>21184000</v>
      </c>
      <c r="H30" s="15">
        <f>H26*$E$2</f>
        <v>25536000</v>
      </c>
      <c r="I30" s="15">
        <f t="shared" ref="I30:K30" si="15">I26*$E$2</f>
        <v>544000</v>
      </c>
      <c r="J30" s="15">
        <f t="shared" si="15"/>
        <v>23328000</v>
      </c>
      <c r="K30" s="15">
        <f t="shared" si="15"/>
        <v>23328000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8.75" x14ac:dyDescent="0.2">
      <c r="A31" s="100" t="s">
        <v>44</v>
      </c>
      <c r="B31" s="100"/>
      <c r="C31" s="100"/>
      <c r="D31" s="90">
        <f>COUNTIF(D28:K28,"&gt;0")+COUNTIF(D25:K25,"&gt;0")</f>
        <v>5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8.75" x14ac:dyDescent="0.2">
      <c r="A32" s="100" t="s">
        <v>12</v>
      </c>
      <c r="B32" s="100"/>
      <c r="C32" s="100"/>
      <c r="D32" s="93">
        <f>D31*$E$4</f>
        <v>23500000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8.75" x14ac:dyDescent="0.2">
      <c r="A33" s="100" t="s">
        <v>45</v>
      </c>
      <c r="B33" s="100"/>
      <c r="C33" s="100"/>
      <c r="D33" s="108">
        <f>SUM(D30:K30)+D32</f>
        <v>186284000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5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5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5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5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5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5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5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</sheetData>
  <sheetProtection algorithmName="SHA-512" hashValue="3UPIxJCCK6U+4pJYOkUrkVNqsFXr6tu8maXe31RVFg7ipGCvTUrzVrs3QUA5qfkh45OE3zgP0F8nU276wXmCFQ==" saltValue="XSU6IzLJRwXfuePoxdBaAg==" spinCount="100000" sheet="1" objects="1" scenarios="1"/>
  <mergeCells count="23">
    <mergeCell ref="E7:K7"/>
    <mergeCell ref="D16:K16"/>
    <mergeCell ref="D17:K17"/>
    <mergeCell ref="D18:K18"/>
    <mergeCell ref="A17:C17"/>
    <mergeCell ref="A18:C18"/>
    <mergeCell ref="A7:D7"/>
    <mergeCell ref="A8:A14"/>
    <mergeCell ref="A15:C15"/>
    <mergeCell ref="A16:C16"/>
    <mergeCell ref="P22:P24"/>
    <mergeCell ref="O25:P25"/>
    <mergeCell ref="A32:C32"/>
    <mergeCell ref="D32:K32"/>
    <mergeCell ref="A33:C33"/>
    <mergeCell ref="D33:K33"/>
    <mergeCell ref="O22:O24"/>
    <mergeCell ref="A22:D22"/>
    <mergeCell ref="E22:K22"/>
    <mergeCell ref="A23:A29"/>
    <mergeCell ref="A30:C30"/>
    <mergeCell ref="A31:C31"/>
    <mergeCell ref="D31:K31"/>
  </mergeCells>
  <phoneticPr fontId="5" type="noConversion"/>
  <conditionalFormatting sqref="A1:U11 A13:U16 A12:C12 L12:U12 A28:U31 A27:C27 L27:U27 A34:U41 A19:U26 A17:C18 L17:U18 A32:C33 L32:U33">
    <cfRule type="containsBlanks" dxfId="45" priority="9">
      <formula>LEN(TRIM(A1))=0</formula>
    </cfRule>
  </conditionalFormatting>
  <conditionalFormatting sqref="D12:K12">
    <cfRule type="containsBlanks" dxfId="44" priority="8">
      <formula>LEN(TRIM(D12))=0</formula>
    </cfRule>
  </conditionalFormatting>
  <conditionalFormatting sqref="D27:K27">
    <cfRule type="containsBlanks" dxfId="43" priority="7">
      <formula>LEN(TRIM(D27))=0</formula>
    </cfRule>
  </conditionalFormatting>
  <conditionalFormatting sqref="D33:K33">
    <cfRule type="containsBlanks" dxfId="42" priority="6">
      <formula>LEN(TRIM(D33))=0</formula>
    </cfRule>
  </conditionalFormatting>
  <conditionalFormatting sqref="D18:K18">
    <cfRule type="containsBlanks" dxfId="41" priority="5">
      <formula>LEN(TRIM(D18))=0</formula>
    </cfRule>
  </conditionalFormatting>
  <conditionalFormatting sqref="D17:K17">
    <cfRule type="containsBlanks" dxfId="40" priority="4">
      <formula>LEN(TRIM(D17))=0</formula>
    </cfRule>
  </conditionalFormatting>
  <conditionalFormatting sqref="D17:K17">
    <cfRule type="cellIs" dxfId="39" priority="3" operator="equal">
      <formula>0</formula>
    </cfRule>
  </conditionalFormatting>
  <conditionalFormatting sqref="D32:K32">
    <cfRule type="containsBlanks" dxfId="38" priority="2">
      <formula>LEN(TRIM(D32))=0</formula>
    </cfRule>
  </conditionalFormatting>
  <conditionalFormatting sqref="D32:K32">
    <cfRule type="cellIs" dxfId="37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B592-AB2A-48EE-89D1-D0804ABD4367}">
  <sheetPr>
    <tabColor theme="7" tint="-0.249977111117893"/>
  </sheetPr>
  <dimension ref="A1:BR498"/>
  <sheetViews>
    <sheetView rightToLeft="1" topLeftCell="A4" zoomScale="85" zoomScaleNormal="85" workbookViewId="0">
      <selection activeCell="D13" sqref="D13:K14"/>
    </sheetView>
  </sheetViews>
  <sheetFormatPr defaultRowHeight="14.25" x14ac:dyDescent="0.2"/>
  <cols>
    <col min="21" max="21" width="255.625" customWidth="1"/>
  </cols>
  <sheetData>
    <row r="1" spans="1:7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5" x14ac:dyDescent="0.2">
      <c r="A2" s="1"/>
      <c r="B2" s="1"/>
      <c r="C2" s="1"/>
      <c r="D2" s="10" t="s">
        <v>10</v>
      </c>
      <c r="E2" s="10">
        <v>16000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" x14ac:dyDescent="0.2">
      <c r="A3" s="1"/>
      <c r="B3" s="1"/>
      <c r="C3" s="1"/>
      <c r="D3" s="10" t="s">
        <v>11</v>
      </c>
      <c r="E3" s="10">
        <v>255000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30" x14ac:dyDescent="0.2">
      <c r="A4" s="1"/>
      <c r="B4" s="1"/>
      <c r="C4" s="1"/>
      <c r="D4" s="17" t="s">
        <v>46</v>
      </c>
      <c r="E4" s="10">
        <v>4700000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20</v>
      </c>
      <c r="N6" s="3" t="s">
        <v>27</v>
      </c>
      <c r="O6" s="3" t="s">
        <v>28</v>
      </c>
      <c r="P6" s="3" t="s">
        <v>29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" x14ac:dyDescent="0.25">
      <c r="A7" s="99" t="s">
        <v>26</v>
      </c>
      <c r="B7" s="99"/>
      <c r="C7" s="99"/>
      <c r="D7" s="99"/>
      <c r="E7" s="117" t="s">
        <v>47</v>
      </c>
      <c r="F7" s="118"/>
      <c r="G7" s="118"/>
      <c r="H7" s="118"/>
      <c r="I7" s="118"/>
      <c r="J7" s="118"/>
      <c r="K7" s="118"/>
      <c r="L7" s="1"/>
      <c r="M7" s="4" t="s">
        <v>4</v>
      </c>
      <c r="N7" s="5" t="s">
        <v>30</v>
      </c>
      <c r="O7" s="5">
        <v>1</v>
      </c>
      <c r="P7" s="5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8.75" x14ac:dyDescent="0.25">
      <c r="A8" s="101" t="s">
        <v>35</v>
      </c>
      <c r="B8" s="14" t="s">
        <v>36</v>
      </c>
      <c r="C8" s="15"/>
      <c r="D8" s="15">
        <v>9</v>
      </c>
      <c r="E8" s="15">
        <v>10</v>
      </c>
      <c r="F8" s="15">
        <v>11</v>
      </c>
      <c r="G8" s="15">
        <v>12</v>
      </c>
      <c r="H8" s="15">
        <v>13</v>
      </c>
      <c r="I8" s="15">
        <v>14</v>
      </c>
      <c r="J8" s="15">
        <v>15</v>
      </c>
      <c r="K8" s="15">
        <v>16</v>
      </c>
      <c r="L8" s="1"/>
      <c r="M8" s="6" t="s">
        <v>21</v>
      </c>
      <c r="N8" s="5">
        <v>1</v>
      </c>
      <c r="O8" s="5">
        <v>2</v>
      </c>
      <c r="P8" s="5">
        <v>60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15" x14ac:dyDescent="0.25">
      <c r="A9" s="102"/>
      <c r="B9" s="16" t="s">
        <v>37</v>
      </c>
      <c r="C9" s="15"/>
      <c r="D9" s="16">
        <f>Vulcan10!D14*Vulcan10!$N$13</f>
        <v>1384</v>
      </c>
      <c r="E9" s="16">
        <f>Vulcan10!E14*Vulcan10!$N$13</f>
        <v>1430</v>
      </c>
      <c r="F9" s="16">
        <f>Vulcan10!F14*Vulcan10!$N$13</f>
        <v>1424</v>
      </c>
      <c r="G9" s="16">
        <f>Vulcan10!G14*Vulcan10!$N$13</f>
        <v>2018</v>
      </c>
      <c r="H9" s="16">
        <f>Vulcan10!H14*Vulcan10!$N$13</f>
        <v>2228</v>
      </c>
      <c r="I9" s="16">
        <f>Vulcan10!I14*Vulcan10!$N$13</f>
        <v>1562</v>
      </c>
      <c r="J9" s="16">
        <f>Vulcan10!J14*Vulcan10!$N$13</f>
        <v>1076</v>
      </c>
      <c r="K9" s="16">
        <f>Vulcan10!K14*Vulcan10!$N$13</f>
        <v>0</v>
      </c>
      <c r="L9" s="1"/>
      <c r="M9" s="7" t="s">
        <v>22</v>
      </c>
      <c r="N9" s="5">
        <v>1</v>
      </c>
      <c r="O9" s="5">
        <v>2</v>
      </c>
      <c r="P9" s="5">
        <v>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15" x14ac:dyDescent="0.25">
      <c r="A10" s="102"/>
      <c r="B10" s="38" t="s">
        <v>38</v>
      </c>
      <c r="C10" s="15"/>
      <c r="D10" s="15">
        <f>D9-C11</f>
        <v>1314</v>
      </c>
      <c r="E10" s="15">
        <f>E9-D11</f>
        <v>1430</v>
      </c>
      <c r="F10" s="15"/>
      <c r="G10" s="15"/>
      <c r="H10" s="15"/>
      <c r="I10" s="15"/>
      <c r="J10" s="15"/>
      <c r="K10" s="15"/>
      <c r="L10" s="1"/>
      <c r="M10" s="7" t="s">
        <v>23</v>
      </c>
      <c r="N10" s="5">
        <v>1</v>
      </c>
      <c r="O10" s="5">
        <v>1</v>
      </c>
      <c r="P10" s="5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15" x14ac:dyDescent="0.25">
      <c r="A11" s="102"/>
      <c r="B11" s="15" t="s">
        <v>5</v>
      </c>
      <c r="C11" s="15">
        <f>$P$13</f>
        <v>70</v>
      </c>
      <c r="D11" s="15">
        <f>C11+D10-D9+D13</f>
        <v>0</v>
      </c>
      <c r="E11" s="15">
        <f t="shared" ref="E11:G11" si="0">D11+E10-E9+E13</f>
        <v>0</v>
      </c>
      <c r="F11" s="15">
        <f t="shared" si="0"/>
        <v>0</v>
      </c>
      <c r="G11" s="15">
        <f t="shared" si="0"/>
        <v>0</v>
      </c>
      <c r="H11" s="15">
        <f>G11+H10-H9+H13</f>
        <v>0</v>
      </c>
      <c r="I11" s="15">
        <f t="shared" ref="I11" si="1">H11+I10-I9+I13</f>
        <v>0</v>
      </c>
      <c r="J11" s="15">
        <f t="shared" ref="J11" si="2">I11+J10-J9+J13</f>
        <v>0</v>
      </c>
      <c r="K11" s="15">
        <f t="shared" ref="K11" si="3">J11+K10-K9+K13</f>
        <v>0</v>
      </c>
      <c r="L11" s="1"/>
      <c r="M11" s="6" t="s">
        <v>24</v>
      </c>
      <c r="N11" s="5">
        <v>1</v>
      </c>
      <c r="O11" s="5">
        <v>2</v>
      </c>
      <c r="P11" s="5">
        <v>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ht="15" x14ac:dyDescent="0.25">
      <c r="A12" s="102"/>
      <c r="B12" s="15" t="s">
        <v>39</v>
      </c>
      <c r="C12" s="15"/>
      <c r="D12" s="15">
        <f t="shared" ref="D12:K12" si="4">MAX(0,-(C11+D10-D9))</f>
        <v>0</v>
      </c>
      <c r="E12" s="15">
        <f t="shared" si="4"/>
        <v>0</v>
      </c>
      <c r="F12" s="15">
        <f t="shared" si="4"/>
        <v>1424</v>
      </c>
      <c r="G12" s="15">
        <f t="shared" si="4"/>
        <v>2018</v>
      </c>
      <c r="H12" s="15">
        <f t="shared" si="4"/>
        <v>2228</v>
      </c>
      <c r="I12" s="15">
        <f t="shared" si="4"/>
        <v>1562</v>
      </c>
      <c r="J12" s="15">
        <f t="shared" si="4"/>
        <v>1076</v>
      </c>
      <c r="K12" s="15">
        <f t="shared" si="4"/>
        <v>0</v>
      </c>
      <c r="L12" s="1"/>
      <c r="M12" s="6" t="s">
        <v>25</v>
      </c>
      <c r="N12" s="5">
        <v>2</v>
      </c>
      <c r="O12" s="5">
        <v>3</v>
      </c>
      <c r="P12" s="5">
        <v>80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15" x14ac:dyDescent="0.25">
      <c r="A13" s="102"/>
      <c r="B13" s="38" t="s">
        <v>40</v>
      </c>
      <c r="C13" s="15"/>
      <c r="D13" s="15"/>
      <c r="E13" s="15"/>
      <c r="F13" s="15">
        <v>1424</v>
      </c>
      <c r="G13" s="15">
        <v>2018</v>
      </c>
      <c r="H13" s="15">
        <v>2228</v>
      </c>
      <c r="I13" s="15">
        <v>1562</v>
      </c>
      <c r="J13" s="15">
        <v>1076</v>
      </c>
      <c r="K13" s="15"/>
      <c r="L13" s="1"/>
      <c r="M13" s="6" t="s">
        <v>26</v>
      </c>
      <c r="N13" s="5">
        <v>2</v>
      </c>
      <c r="O13" s="5">
        <v>2</v>
      </c>
      <c r="P13" s="5">
        <v>70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15" x14ac:dyDescent="0.2">
      <c r="A14" s="103"/>
      <c r="B14" s="16" t="s">
        <v>41</v>
      </c>
      <c r="C14" s="16"/>
      <c r="D14" s="16">
        <v>1424</v>
      </c>
      <c r="E14" s="16">
        <v>2018</v>
      </c>
      <c r="F14" s="16">
        <v>2228</v>
      </c>
      <c r="G14" s="16">
        <v>1562</v>
      </c>
      <c r="H14" s="16">
        <v>1076</v>
      </c>
      <c r="I14" s="16"/>
      <c r="J14" s="1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8.75" x14ac:dyDescent="0.2">
      <c r="A15" s="100" t="s">
        <v>42</v>
      </c>
      <c r="B15" s="100"/>
      <c r="C15" s="100"/>
      <c r="D15" s="15">
        <f>D11*$E$2</f>
        <v>0</v>
      </c>
      <c r="E15" s="15">
        <f t="shared" ref="E15:G15" si="5">E11*$E$2</f>
        <v>0</v>
      </c>
      <c r="F15" s="15">
        <f t="shared" si="5"/>
        <v>0</v>
      </c>
      <c r="G15" s="15">
        <f t="shared" si="5"/>
        <v>0</v>
      </c>
      <c r="H15" s="15">
        <f>H11*$E$2</f>
        <v>0</v>
      </c>
      <c r="I15" s="15">
        <f t="shared" ref="I15:K15" si="6">I11*$E$2</f>
        <v>0</v>
      </c>
      <c r="J15" s="15">
        <f t="shared" si="6"/>
        <v>0</v>
      </c>
      <c r="K15" s="15">
        <f t="shared" si="6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8.75" x14ac:dyDescent="0.2">
      <c r="A16" s="100" t="s">
        <v>44</v>
      </c>
      <c r="B16" s="100"/>
      <c r="C16" s="100"/>
      <c r="D16" s="90">
        <f>COUNTIF(D13:K13,"&gt;0")+COUNTIF(D10:K10,"&gt;0")</f>
        <v>7</v>
      </c>
      <c r="E16" s="91"/>
      <c r="F16" s="91"/>
      <c r="G16" s="91"/>
      <c r="H16" s="91"/>
      <c r="I16" s="91"/>
      <c r="J16" s="91"/>
      <c r="K16" s="9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18.75" x14ac:dyDescent="0.2">
      <c r="A17" s="100" t="s">
        <v>12</v>
      </c>
      <c r="B17" s="100"/>
      <c r="C17" s="100"/>
      <c r="D17" s="93">
        <f>D16*E4</f>
        <v>32900000</v>
      </c>
      <c r="E17" s="94"/>
      <c r="F17" s="94"/>
      <c r="G17" s="94"/>
      <c r="H17" s="94"/>
      <c r="I17" s="94"/>
      <c r="J17" s="94"/>
      <c r="K17" s="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18.75" x14ac:dyDescent="0.2">
      <c r="A18" s="100" t="s">
        <v>45</v>
      </c>
      <c r="B18" s="100"/>
      <c r="C18" s="100"/>
      <c r="D18" s="96">
        <f>SUM(D15:K15)+D17</f>
        <v>32900000</v>
      </c>
      <c r="E18" s="97"/>
      <c r="F18" s="97"/>
      <c r="G18" s="97"/>
      <c r="H18" s="97"/>
      <c r="I18" s="97"/>
      <c r="J18" s="97"/>
      <c r="K18" s="9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x14ac:dyDescent="0.2">
      <c r="A22" s="99" t="s">
        <v>26</v>
      </c>
      <c r="B22" s="99"/>
      <c r="C22" s="99"/>
      <c r="D22" s="99"/>
      <c r="E22" s="117" t="s">
        <v>60</v>
      </c>
      <c r="F22" s="118"/>
      <c r="G22" s="118"/>
      <c r="H22" s="118"/>
      <c r="I22" s="118"/>
      <c r="J22" s="118"/>
      <c r="K22" s="118"/>
      <c r="L22" s="1"/>
      <c r="M22" s="1"/>
      <c r="N22" s="1"/>
      <c r="O22" s="104" t="s">
        <v>51</v>
      </c>
      <c r="P22" s="104">
        <f>MIN(D18,D33)</f>
        <v>32900000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18.75" x14ac:dyDescent="0.2">
      <c r="A23" s="111" t="s">
        <v>49</v>
      </c>
      <c r="B23" s="14" t="s">
        <v>36</v>
      </c>
      <c r="C23" s="15"/>
      <c r="D23" s="15">
        <v>9</v>
      </c>
      <c r="E23" s="15">
        <v>10</v>
      </c>
      <c r="F23" s="15">
        <v>11</v>
      </c>
      <c r="G23" s="15">
        <v>12</v>
      </c>
      <c r="H23" s="15">
        <v>13</v>
      </c>
      <c r="I23" s="15">
        <v>14</v>
      </c>
      <c r="J23" s="15">
        <v>15</v>
      </c>
      <c r="K23" s="15">
        <v>16</v>
      </c>
      <c r="L23" s="1"/>
      <c r="M23" s="1"/>
      <c r="N23" s="1"/>
      <c r="O23" s="105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15" x14ac:dyDescent="0.2">
      <c r="A24" s="102"/>
      <c r="B24" s="16" t="s">
        <v>37</v>
      </c>
      <c r="C24" s="15"/>
      <c r="D24" s="16">
        <f>Vulcan10!D14*Vulcan10!$N$13</f>
        <v>1384</v>
      </c>
      <c r="E24" s="16">
        <f>Vulcan10!E14*Vulcan10!$N$13</f>
        <v>1430</v>
      </c>
      <c r="F24" s="16">
        <f>Vulcan10!F14*Vulcan10!$N$13</f>
        <v>1424</v>
      </c>
      <c r="G24" s="16">
        <f>Vulcan10!G14*Vulcan10!$N$13</f>
        <v>2018</v>
      </c>
      <c r="H24" s="16">
        <f>Vulcan10!H14*Vulcan10!$N$13</f>
        <v>2228</v>
      </c>
      <c r="I24" s="16">
        <f>Vulcan10!I14*Vulcan10!$N$13</f>
        <v>1562</v>
      </c>
      <c r="J24" s="16">
        <f>Vulcan10!J14*Vulcan10!$N$13</f>
        <v>1076</v>
      </c>
      <c r="K24" s="16">
        <f>Vulcan10!K14*Vulcan10!$N$13</f>
        <v>0</v>
      </c>
      <c r="L24" s="1"/>
      <c r="M24" s="1"/>
      <c r="N24" s="1"/>
      <c r="O24" s="106"/>
      <c r="P24" s="10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x14ac:dyDescent="0.2">
      <c r="A25" s="102"/>
      <c r="B25" s="38" t="s">
        <v>38</v>
      </c>
      <c r="C25" s="15"/>
      <c r="D25" s="15">
        <v>3000</v>
      </c>
      <c r="E25" s="15"/>
      <c r="F25" s="15"/>
      <c r="G25" s="15"/>
      <c r="H25" s="15"/>
      <c r="I25" s="15"/>
      <c r="J25" s="15"/>
      <c r="K25" s="15"/>
      <c r="L25" s="1"/>
      <c r="M25" s="1"/>
      <c r="N25" s="1"/>
      <c r="O25" s="112" t="s">
        <v>35</v>
      </c>
      <c r="P25" s="1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x14ac:dyDescent="0.2">
      <c r="A26" s="102"/>
      <c r="B26" s="15" t="s">
        <v>5</v>
      </c>
      <c r="C26" s="15">
        <f>$P$13</f>
        <v>70</v>
      </c>
      <c r="D26" s="15">
        <f>C26+D25-D24+D28</f>
        <v>1686</v>
      </c>
      <c r="E26" s="15">
        <f t="shared" ref="E26" si="7">D26+E25-E24+E28</f>
        <v>256</v>
      </c>
      <c r="F26" s="15">
        <f t="shared" ref="F26" si="8">E26+F25-F24+F28</f>
        <v>1832</v>
      </c>
      <c r="G26" s="15">
        <f>F26+G25-G24+G28</f>
        <v>2814</v>
      </c>
      <c r="H26" s="15">
        <f>G26+H25-H24+H28</f>
        <v>586</v>
      </c>
      <c r="I26" s="15">
        <f t="shared" ref="I26" si="9">H26+I25-I24+I28</f>
        <v>2024</v>
      </c>
      <c r="J26" s="15">
        <f t="shared" ref="J26" si="10">I26+J25-J24+J28</f>
        <v>948</v>
      </c>
      <c r="K26" s="15">
        <f t="shared" ref="K26" si="11">J26+K25-K24+K28</f>
        <v>948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x14ac:dyDescent="0.2">
      <c r="A27" s="102"/>
      <c r="B27" s="15" t="s">
        <v>39</v>
      </c>
      <c r="C27" s="15"/>
      <c r="D27" s="15">
        <f t="shared" ref="D27:K27" si="12">MAX(0,-(C26+D25-D24))</f>
        <v>0</v>
      </c>
      <c r="E27" s="15">
        <f t="shared" si="12"/>
        <v>0</v>
      </c>
      <c r="F27" s="15">
        <f t="shared" si="12"/>
        <v>1168</v>
      </c>
      <c r="G27" s="15">
        <f t="shared" si="12"/>
        <v>186</v>
      </c>
      <c r="H27" s="15">
        <f t="shared" si="12"/>
        <v>0</v>
      </c>
      <c r="I27" s="15">
        <f t="shared" si="12"/>
        <v>976</v>
      </c>
      <c r="J27" s="15">
        <f t="shared" si="12"/>
        <v>0</v>
      </c>
      <c r="K27" s="15">
        <f t="shared" si="12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x14ac:dyDescent="0.2">
      <c r="A28" s="102"/>
      <c r="B28" s="38" t="s">
        <v>40</v>
      </c>
      <c r="C28" s="15"/>
      <c r="D28" s="15"/>
      <c r="E28" s="15"/>
      <c r="F28" s="15">
        <v>3000</v>
      </c>
      <c r="G28" s="15">
        <v>3000</v>
      </c>
      <c r="H28" s="15"/>
      <c r="I28" s="15">
        <v>3000</v>
      </c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15" x14ac:dyDescent="0.2">
      <c r="A29" s="103"/>
      <c r="B29" s="16" t="s">
        <v>41</v>
      </c>
      <c r="C29" s="16"/>
      <c r="D29" s="16">
        <v>3000</v>
      </c>
      <c r="E29" s="16">
        <v>3000</v>
      </c>
      <c r="F29" s="16"/>
      <c r="G29" s="16">
        <v>3000</v>
      </c>
      <c r="H29" s="16"/>
      <c r="I29" s="16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ht="18.75" x14ac:dyDescent="0.2">
      <c r="A30" s="100" t="s">
        <v>42</v>
      </c>
      <c r="B30" s="100"/>
      <c r="C30" s="100"/>
      <c r="D30" s="15">
        <f>D26*$E$2</f>
        <v>26976000</v>
      </c>
      <c r="E30" s="15">
        <f t="shared" ref="E30:G30" si="13">E26*$E$2</f>
        <v>4096000</v>
      </c>
      <c r="F30" s="15">
        <f t="shared" si="13"/>
        <v>29312000</v>
      </c>
      <c r="G30" s="15">
        <f t="shared" si="13"/>
        <v>45024000</v>
      </c>
      <c r="H30" s="15">
        <f>H26*$E$2</f>
        <v>9376000</v>
      </c>
      <c r="I30" s="15">
        <f t="shared" ref="I30:K30" si="14">I26*$E$2</f>
        <v>32384000</v>
      </c>
      <c r="J30" s="15">
        <f t="shared" si="14"/>
        <v>15168000</v>
      </c>
      <c r="K30" s="15">
        <f t="shared" si="14"/>
        <v>15168000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8.75" x14ac:dyDescent="0.2">
      <c r="A31" s="100" t="s">
        <v>44</v>
      </c>
      <c r="B31" s="100"/>
      <c r="C31" s="100"/>
      <c r="D31" s="90">
        <f>COUNTIF(D28:K28,"&gt;0")+COUNTIF(D25:K25,"&gt;0")</f>
        <v>4</v>
      </c>
      <c r="E31" s="91"/>
      <c r="F31" s="91"/>
      <c r="G31" s="91"/>
      <c r="H31" s="91"/>
      <c r="I31" s="91"/>
      <c r="J31" s="91"/>
      <c r="K31" s="9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8.75" x14ac:dyDescent="0.2">
      <c r="A32" s="100" t="s">
        <v>12</v>
      </c>
      <c r="B32" s="100"/>
      <c r="C32" s="100"/>
      <c r="D32" s="93">
        <f>D31*$E$4</f>
        <v>18800000</v>
      </c>
      <c r="E32" s="94"/>
      <c r="F32" s="94"/>
      <c r="G32" s="94"/>
      <c r="H32" s="94"/>
      <c r="I32" s="94"/>
      <c r="J32" s="94"/>
      <c r="K32" s="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ht="18.75" x14ac:dyDescent="0.2">
      <c r="A33" s="100" t="s">
        <v>45</v>
      </c>
      <c r="B33" s="100"/>
      <c r="C33" s="100"/>
      <c r="D33" s="108">
        <f>SUM(D30:K30)+D32</f>
        <v>196304000</v>
      </c>
      <c r="E33" s="109"/>
      <c r="F33" s="109"/>
      <c r="G33" s="109"/>
      <c r="H33" s="109"/>
      <c r="I33" s="109"/>
      <c r="J33" s="109"/>
      <c r="K33" s="1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7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7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7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4:18" x14ac:dyDescent="0.2">
      <c r="N497" s="1"/>
      <c r="O497" s="1"/>
      <c r="P497" s="1"/>
      <c r="Q497" s="1"/>
      <c r="R497" s="1"/>
    </row>
    <row r="498" spans="14:18" x14ac:dyDescent="0.2">
      <c r="N498" s="1"/>
      <c r="O498" s="1"/>
      <c r="P498" s="1"/>
      <c r="Q498" s="1"/>
      <c r="R498" s="1"/>
    </row>
  </sheetData>
  <sheetProtection algorithmName="SHA-512" hashValue="5g4cGimb0Oi8HSKrzV2hMhq/BrGxhB1Mo+9UTsGaTFI1M/aqzUNaNQOzSkmoNlylTEwcK+9cG17nlX7Ji41PAA==" saltValue="89kxizUOLiQY2jEyMn0CbQ==" spinCount="100000" sheet="1" objects="1" scenarios="1"/>
  <mergeCells count="23">
    <mergeCell ref="E7:K7"/>
    <mergeCell ref="D16:K16"/>
    <mergeCell ref="D17:K17"/>
    <mergeCell ref="D18:K18"/>
    <mergeCell ref="A17:C17"/>
    <mergeCell ref="A18:C18"/>
    <mergeCell ref="A7:D7"/>
    <mergeCell ref="A8:A14"/>
    <mergeCell ref="A15:C15"/>
    <mergeCell ref="A16:C16"/>
    <mergeCell ref="P22:P24"/>
    <mergeCell ref="O25:P25"/>
    <mergeCell ref="A32:C32"/>
    <mergeCell ref="D32:K32"/>
    <mergeCell ref="A33:C33"/>
    <mergeCell ref="D33:K33"/>
    <mergeCell ref="O22:O24"/>
    <mergeCell ref="A22:D22"/>
    <mergeCell ref="E22:K22"/>
    <mergeCell ref="A23:A29"/>
    <mergeCell ref="A30:C30"/>
    <mergeCell ref="A31:C31"/>
    <mergeCell ref="D31:K31"/>
  </mergeCells>
  <phoneticPr fontId="5" type="noConversion"/>
  <conditionalFormatting sqref="A1:U11 A13:U16 A12:C12 L12:U12 A28:U31 A27:C27 L27:U27 A34:U43 A19:U26 A17:C18 L17:U18 A32:C33 L32:U33">
    <cfRule type="containsBlanks" dxfId="36" priority="9">
      <formula>LEN(TRIM(A1))=0</formula>
    </cfRule>
  </conditionalFormatting>
  <conditionalFormatting sqref="D12:K12">
    <cfRule type="containsBlanks" dxfId="35" priority="8">
      <formula>LEN(TRIM(D12))=0</formula>
    </cfRule>
  </conditionalFormatting>
  <conditionalFormatting sqref="D27:K27">
    <cfRule type="containsBlanks" dxfId="34" priority="7">
      <formula>LEN(TRIM(D27))=0</formula>
    </cfRule>
  </conditionalFormatting>
  <conditionalFormatting sqref="D33:K33">
    <cfRule type="containsBlanks" dxfId="33" priority="6">
      <formula>LEN(TRIM(D33))=0</formula>
    </cfRule>
  </conditionalFormatting>
  <conditionalFormatting sqref="D18:K18">
    <cfRule type="containsBlanks" dxfId="32" priority="5">
      <formula>LEN(TRIM(D18))=0</formula>
    </cfRule>
  </conditionalFormatting>
  <conditionalFormatting sqref="D17:K17">
    <cfRule type="containsBlanks" dxfId="31" priority="4">
      <formula>LEN(TRIM(D17))=0</formula>
    </cfRule>
  </conditionalFormatting>
  <conditionalFormatting sqref="D17:K17">
    <cfRule type="cellIs" dxfId="30" priority="3" operator="equal">
      <formula>0</formula>
    </cfRule>
  </conditionalFormatting>
  <conditionalFormatting sqref="D32:K32">
    <cfRule type="containsBlanks" dxfId="29" priority="2">
      <formula>LEN(TRIM(D32))=0</formula>
    </cfRule>
  </conditionalFormatting>
  <conditionalFormatting sqref="D32:K32">
    <cfRule type="cellIs" dxfId="2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E52A-3A39-4306-972F-AF86F37AC35C}">
  <sheetPr>
    <tabColor theme="8" tint="-0.249977111117893"/>
  </sheetPr>
  <dimension ref="B2:J33"/>
  <sheetViews>
    <sheetView rightToLeft="1" zoomScale="145" zoomScaleNormal="145" workbookViewId="0">
      <selection activeCell="D10" sqref="D10"/>
    </sheetView>
  </sheetViews>
  <sheetFormatPr defaultRowHeight="14.25" x14ac:dyDescent="0.2"/>
  <cols>
    <col min="1" max="20" width="9" style="43"/>
    <col min="21" max="21" width="255.625" style="43" customWidth="1"/>
    <col min="22" max="16384" width="9" style="43"/>
  </cols>
  <sheetData>
    <row r="2" spans="2:10" ht="18.75" x14ac:dyDescent="0.2">
      <c r="B2" s="119" t="s">
        <v>62</v>
      </c>
      <c r="C2" s="120"/>
      <c r="D2" s="120"/>
      <c r="E2" s="120"/>
      <c r="F2" s="120"/>
      <c r="G2" s="120"/>
      <c r="H2" s="120"/>
      <c r="I2" s="120"/>
      <c r="J2" s="120"/>
    </row>
    <row r="3" spans="2:10" ht="15" customHeight="1" x14ac:dyDescent="0.2">
      <c r="B3" s="44" t="s">
        <v>32</v>
      </c>
      <c r="C3" s="44">
        <v>9</v>
      </c>
      <c r="D3" s="44">
        <v>10</v>
      </c>
      <c r="E3" s="44">
        <v>11</v>
      </c>
      <c r="F3" s="44">
        <v>12</v>
      </c>
      <c r="G3" s="44">
        <v>13</v>
      </c>
      <c r="H3" s="44">
        <v>14</v>
      </c>
      <c r="I3" s="44">
        <v>15</v>
      </c>
      <c r="J3" s="44">
        <v>16</v>
      </c>
    </row>
    <row r="4" spans="2:10" ht="15" customHeight="1" x14ac:dyDescent="0.2">
      <c r="B4" s="46" t="s">
        <v>4</v>
      </c>
      <c r="C4" s="46"/>
      <c r="D4" s="46"/>
      <c r="E4" s="46"/>
      <c r="F4" s="46"/>
      <c r="G4" s="46"/>
      <c r="H4" s="46"/>
      <c r="I4" s="46"/>
      <c r="J4" s="46"/>
    </row>
    <row r="5" spans="2:10" x14ac:dyDescent="0.2">
      <c r="B5" s="45" t="s">
        <v>21</v>
      </c>
      <c r="C5" s="44">
        <f>'MRP A'!D14</f>
        <v>712</v>
      </c>
      <c r="D5" s="44">
        <f>'MRP A'!E14</f>
        <v>1009</v>
      </c>
      <c r="E5" s="44">
        <f>'MRP A'!F14</f>
        <v>1114</v>
      </c>
      <c r="F5" s="44">
        <f>'MRP A'!G14</f>
        <v>781</v>
      </c>
      <c r="G5" s="44">
        <f>'MRP A'!H14</f>
        <v>538</v>
      </c>
      <c r="H5" s="44">
        <f>'MRP A'!I14</f>
        <v>0</v>
      </c>
      <c r="I5" s="44">
        <f>'MRP A'!J14</f>
        <v>0</v>
      </c>
      <c r="J5" s="44">
        <f>'MRP A'!K14</f>
        <v>0</v>
      </c>
    </row>
    <row r="6" spans="2:10" ht="15" customHeight="1" x14ac:dyDescent="0.2">
      <c r="B6" s="44" t="s">
        <v>22</v>
      </c>
      <c r="C6" s="44">
        <f>'MRP A1'!D14</f>
        <v>1114</v>
      </c>
      <c r="D6" s="44">
        <f>'MRP A1'!E14</f>
        <v>781</v>
      </c>
      <c r="E6" s="44">
        <f>'MRP A1'!F14</f>
        <v>538</v>
      </c>
      <c r="F6" s="44">
        <f>'MRP A1'!G14</f>
        <v>0</v>
      </c>
      <c r="G6" s="44">
        <f>'MRP A1'!H14</f>
        <v>0</v>
      </c>
      <c r="H6" s="44">
        <f>'MRP A1'!I14</f>
        <v>0</v>
      </c>
      <c r="I6" s="44">
        <f>'MRP A1'!J14</f>
        <v>0</v>
      </c>
      <c r="J6" s="44">
        <f>'MRP A1'!K14</f>
        <v>0</v>
      </c>
    </row>
    <row r="7" spans="2:10" ht="15" customHeight="1" x14ac:dyDescent="0.2">
      <c r="B7" s="44" t="s">
        <v>23</v>
      </c>
      <c r="C7" s="44">
        <f>'MRP A2'!D14</f>
        <v>1009</v>
      </c>
      <c r="D7" s="44">
        <f>'MRP A2'!E14</f>
        <v>1114</v>
      </c>
      <c r="E7" s="44">
        <f>'MRP A2'!F14</f>
        <v>781</v>
      </c>
      <c r="F7" s="44">
        <f>'MRP A2'!G14</f>
        <v>538</v>
      </c>
      <c r="G7" s="44">
        <f>'MRP A2'!H14</f>
        <v>0</v>
      </c>
      <c r="H7" s="44">
        <f>'MRP A2'!I14</f>
        <v>0</v>
      </c>
      <c r="I7" s="44">
        <f>'MRP A2'!J14</f>
        <v>0</v>
      </c>
      <c r="J7" s="44">
        <f>'MRP A2'!K14</f>
        <v>0</v>
      </c>
    </row>
    <row r="8" spans="2:10" ht="15" customHeight="1" x14ac:dyDescent="0.2">
      <c r="B8" s="45" t="s">
        <v>24</v>
      </c>
      <c r="C8" s="44">
        <f>'MRP B'!D14</f>
        <v>712</v>
      </c>
      <c r="D8" s="44">
        <f>'MRP B'!E14</f>
        <v>1009</v>
      </c>
      <c r="E8" s="44">
        <f>'MRP B'!F14</f>
        <v>1114</v>
      </c>
      <c r="F8" s="44">
        <f>'MRP B'!G14</f>
        <v>781</v>
      </c>
      <c r="G8" s="44">
        <f>'MRP B'!H14</f>
        <v>538</v>
      </c>
      <c r="H8" s="44">
        <f>'MRP B'!I14</f>
        <v>0</v>
      </c>
      <c r="I8" s="44">
        <f>'MRP B'!J14</f>
        <v>0</v>
      </c>
      <c r="J8" s="44">
        <f>'MRP B'!K14</f>
        <v>0</v>
      </c>
    </row>
    <row r="9" spans="2:10" ht="15" customHeight="1" x14ac:dyDescent="0.2">
      <c r="B9" s="45" t="s">
        <v>25</v>
      </c>
      <c r="C9" s="44">
        <f>'MRP C'!D14</f>
        <v>2018</v>
      </c>
      <c r="D9" s="44">
        <f>'MRP C'!E14</f>
        <v>2228</v>
      </c>
      <c r="E9" s="44">
        <f>'MRP C'!F14</f>
        <v>1562</v>
      </c>
      <c r="F9" s="44">
        <f>'MRP C'!G14</f>
        <v>1076</v>
      </c>
      <c r="G9" s="44">
        <f>'MRP C'!H14</f>
        <v>0</v>
      </c>
      <c r="H9" s="44">
        <f>'MRP C'!I14</f>
        <v>0</v>
      </c>
      <c r="I9" s="44">
        <f>'MRP C'!J14</f>
        <v>0</v>
      </c>
      <c r="J9" s="44">
        <f>'MRP C'!K14</f>
        <v>0</v>
      </c>
    </row>
    <row r="10" spans="2:10" ht="15" customHeight="1" x14ac:dyDescent="0.2">
      <c r="B10" s="45" t="s">
        <v>26</v>
      </c>
      <c r="C10" s="44">
        <f>'MRP D'!D14</f>
        <v>1424</v>
      </c>
      <c r="D10" s="44">
        <f>'MRP D'!E14</f>
        <v>2018</v>
      </c>
      <c r="E10" s="44">
        <f>'MRP D'!F14</f>
        <v>2228</v>
      </c>
      <c r="F10" s="44">
        <f>'MRP D'!G14</f>
        <v>1562</v>
      </c>
      <c r="G10" s="44">
        <f>'MRP D'!H14</f>
        <v>1076</v>
      </c>
      <c r="H10" s="44">
        <f>'MRP D'!I14</f>
        <v>0</v>
      </c>
      <c r="I10" s="44">
        <f>'MRP D'!J14</f>
        <v>0</v>
      </c>
      <c r="J10" s="44">
        <f>'MRP D'!K14</f>
        <v>0</v>
      </c>
    </row>
    <row r="11" spans="2:10" ht="15" customHeight="1" x14ac:dyDescent="0.2"/>
    <row r="12" spans="2:10" ht="15" customHeight="1" x14ac:dyDescent="0.2"/>
    <row r="13" spans="2:10" ht="15" customHeight="1" x14ac:dyDescent="0.2"/>
    <row r="14" spans="2:10" ht="15" customHeight="1" x14ac:dyDescent="0.2"/>
    <row r="15" spans="2:10" ht="15" customHeight="1" x14ac:dyDescent="0.2"/>
    <row r="16" spans="2:10" ht="15" customHeight="1" x14ac:dyDescent="0.2"/>
    <row r="17" ht="15" customHeight="1" x14ac:dyDescent="0.2"/>
    <row r="18" ht="15" customHeight="1" x14ac:dyDescent="0.2"/>
    <row r="23" ht="15" customHeight="1" x14ac:dyDescent="0.2"/>
    <row r="24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</sheetData>
  <sheetProtection algorithmName="SHA-512" hashValue="7ZmLm8mypFlD2nZHGHvoR/osySqykbc+NW8PWudipXSyaO5IjjkKFVom2sdLvq5hyQhTV5RbkoSd14KbfKazhg==" saltValue="mDQ6naBo3IOQ+Y7LUJ2Klw==" spinCount="100000" sheet="1" objects="1" scenarios="1"/>
  <mergeCells count="1">
    <mergeCell ref="B2:J2"/>
  </mergeCells>
  <conditionalFormatting sqref="A1:Z1 A2 K2:Z2 A3:Z4 A11:Z50 A5:B10 K5:Z10">
    <cfRule type="containsBlanks" dxfId="27" priority="12">
      <formula>LEN(TRIM(A1))=0</formula>
    </cfRule>
  </conditionalFormatting>
  <conditionalFormatting sqref="B2">
    <cfRule type="containsBlanks" dxfId="26" priority="3">
      <formula>LEN(TRIM(B2))=0</formula>
    </cfRule>
  </conditionalFormatting>
  <conditionalFormatting sqref="C5:J10">
    <cfRule type="containsBlanks" dxfId="25" priority="2">
      <formula>LEN(TRIM(C5))=0</formula>
    </cfRule>
  </conditionalFormatting>
  <conditionalFormatting sqref="C5:J10">
    <cfRule type="cellIs" dxfId="24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2A54-A4B7-486A-BBBE-03697AA9F561}">
  <sheetPr>
    <tabColor theme="1"/>
  </sheetPr>
  <dimension ref="B2:AF26"/>
  <sheetViews>
    <sheetView rightToLeft="1" tabSelected="1" zoomScale="85" zoomScaleNormal="85" workbookViewId="0">
      <selection activeCell="X32" sqref="X32"/>
    </sheetView>
  </sheetViews>
  <sheetFormatPr defaultColWidth="4.25" defaultRowHeight="14.25" x14ac:dyDescent="0.2"/>
  <cols>
    <col min="1" max="1" width="4.25" style="50"/>
    <col min="2" max="20" width="6.375" style="50" customWidth="1"/>
    <col min="21" max="23" width="4.25" style="50"/>
    <col min="24" max="24" width="8.75" style="50" bestFit="1" customWidth="1"/>
    <col min="25" max="25" width="7.875" style="50" bestFit="1" customWidth="1"/>
    <col min="26" max="26" width="10.625" style="50" bestFit="1" customWidth="1"/>
    <col min="27" max="27" width="12.5" style="50" bestFit="1" customWidth="1"/>
    <col min="28" max="28" width="12" style="50" bestFit="1" customWidth="1"/>
    <col min="29" max="29" width="6.125" style="50" bestFit="1" customWidth="1"/>
    <col min="30" max="32" width="3.125" style="50" bestFit="1" customWidth="1"/>
    <col min="33" max="16384" width="4.25" style="50"/>
  </cols>
  <sheetData>
    <row r="2" spans="2:32" ht="18.75" x14ac:dyDescent="0.2">
      <c r="B2" s="127" t="s">
        <v>65</v>
      </c>
      <c r="C2" s="128"/>
      <c r="D2" s="128"/>
      <c r="E2" s="128"/>
      <c r="F2" s="128"/>
      <c r="G2" s="128"/>
      <c r="H2" s="128"/>
      <c r="I2" s="128"/>
      <c r="J2" s="128"/>
      <c r="L2" s="127" t="s">
        <v>66</v>
      </c>
      <c r="M2" s="128"/>
      <c r="N2" s="128"/>
      <c r="O2" s="128"/>
      <c r="P2" s="128"/>
      <c r="Q2" s="128"/>
      <c r="R2" s="128"/>
      <c r="S2" s="128"/>
      <c r="T2" s="128"/>
      <c r="X2" s="123" t="s">
        <v>67</v>
      </c>
      <c r="Y2" s="124"/>
      <c r="Z2" s="124"/>
      <c r="AA2" s="124"/>
      <c r="AB2" s="124"/>
      <c r="AC2" s="124"/>
      <c r="AD2" s="124"/>
      <c r="AE2" s="124"/>
      <c r="AF2" s="124"/>
    </row>
    <row r="3" spans="2:32" x14ac:dyDescent="0.2">
      <c r="B3" s="51" t="s">
        <v>32</v>
      </c>
      <c r="C3" s="51">
        <v>9</v>
      </c>
      <c r="D3" s="51">
        <v>10</v>
      </c>
      <c r="E3" s="51">
        <v>11</v>
      </c>
      <c r="F3" s="51">
        <v>12</v>
      </c>
      <c r="G3" s="51">
        <v>13</v>
      </c>
      <c r="H3" s="51">
        <v>14</v>
      </c>
      <c r="I3" s="51">
        <v>15</v>
      </c>
      <c r="J3" s="51">
        <v>16</v>
      </c>
      <c r="L3" s="51" t="s">
        <v>32</v>
      </c>
      <c r="M3" s="51">
        <v>9</v>
      </c>
      <c r="N3" s="51">
        <v>10</v>
      </c>
      <c r="O3" s="51">
        <v>11</v>
      </c>
      <c r="P3" s="51">
        <v>12</v>
      </c>
      <c r="Q3" s="51">
        <v>13</v>
      </c>
      <c r="R3" s="51">
        <v>14</v>
      </c>
      <c r="S3" s="51">
        <v>15</v>
      </c>
      <c r="T3" s="51">
        <v>16</v>
      </c>
      <c r="X3" s="51" t="s">
        <v>68</v>
      </c>
      <c r="Y3" s="51">
        <v>9</v>
      </c>
      <c r="Z3" s="51">
        <v>10</v>
      </c>
      <c r="AA3" s="51">
        <v>11</v>
      </c>
      <c r="AB3" s="51">
        <v>12</v>
      </c>
      <c r="AC3" s="51">
        <v>13</v>
      </c>
      <c r="AD3" s="51">
        <v>14</v>
      </c>
      <c r="AE3" s="51">
        <v>15</v>
      </c>
      <c r="AF3" s="51">
        <v>16</v>
      </c>
    </row>
    <row r="4" spans="2:32" ht="15" x14ac:dyDescent="0.2">
      <c r="B4" s="52">
        <v>1</v>
      </c>
      <c r="C4" s="53">
        <f>SUM(C5:C10)</f>
        <v>35</v>
      </c>
      <c r="D4" s="53">
        <f t="shared" ref="D4:J4" si="0">SUM(D5:D10)</f>
        <v>43</v>
      </c>
      <c r="E4" s="53">
        <f t="shared" si="0"/>
        <v>43</v>
      </c>
      <c r="F4" s="53">
        <f t="shared" si="0"/>
        <v>36</v>
      </c>
      <c r="G4" s="53">
        <f t="shared" si="0"/>
        <v>36</v>
      </c>
      <c r="H4" s="53">
        <f t="shared" si="0"/>
        <v>8</v>
      </c>
      <c r="I4" s="53">
        <f t="shared" si="0"/>
        <v>0</v>
      </c>
      <c r="J4" s="53">
        <f t="shared" si="0"/>
        <v>0</v>
      </c>
      <c r="L4" s="54">
        <v>1</v>
      </c>
      <c r="M4" s="53">
        <f>SUM(M5:M10)</f>
        <v>2515</v>
      </c>
      <c r="N4" s="53">
        <f t="shared" ref="N4" si="1">SUM(N5:N10)</f>
        <v>3165.25</v>
      </c>
      <c r="O4" s="53">
        <f t="shared" ref="O4" si="2">SUM(O5:O10)</f>
        <v>3332.5</v>
      </c>
      <c r="P4" s="53">
        <f t="shared" ref="P4" si="3">SUM(P5:P10)</f>
        <v>2147.75</v>
      </c>
      <c r="Q4" s="53">
        <f t="shared" ref="Q4" si="4">SUM(Q5:Q10)</f>
        <v>1479.5</v>
      </c>
      <c r="R4" s="53">
        <f t="shared" ref="R4" si="5">SUM(R5:R10)</f>
        <v>0</v>
      </c>
      <c r="S4" s="53">
        <f t="shared" ref="S4" si="6">SUM(S5:S10)</f>
        <v>0</v>
      </c>
      <c r="T4" s="53">
        <f t="shared" ref="T4" si="7">SUM(T5:T10)</f>
        <v>0</v>
      </c>
      <c r="X4" s="52">
        <v>1</v>
      </c>
      <c r="Y4" s="53">
        <f t="shared" ref="Y4:AF4" si="8">C4+M4</f>
        <v>2550</v>
      </c>
      <c r="Z4" s="53">
        <f t="shared" si="8"/>
        <v>3208.25</v>
      </c>
      <c r="AA4" s="53">
        <f t="shared" si="8"/>
        <v>3375.5</v>
      </c>
      <c r="AB4" s="53">
        <f t="shared" si="8"/>
        <v>2183.75</v>
      </c>
      <c r="AC4" s="53">
        <f t="shared" si="8"/>
        <v>1515.5</v>
      </c>
      <c r="AD4" s="53">
        <f t="shared" si="8"/>
        <v>8</v>
      </c>
      <c r="AE4" s="53">
        <f t="shared" si="8"/>
        <v>0</v>
      </c>
      <c r="AF4" s="53">
        <f t="shared" si="8"/>
        <v>0</v>
      </c>
    </row>
    <row r="5" spans="2:32" ht="15" x14ac:dyDescent="0.2">
      <c r="B5" s="55" t="s">
        <v>21</v>
      </c>
      <c r="C5" s="51">
        <f>IFERROR(IF(PORs!C5&gt;0,INDEX(data!$K$14:$M$24,MATCH($B5&amp;$B$4,data!$M$14:$M$24,0),1),0),0)</f>
        <v>10</v>
      </c>
      <c r="D5" s="51">
        <f>IFERROR(IF(PORs!D5&gt;0,INDEX(data!$K$14:$M$24,MATCH($B5&amp;$B$4,data!$M$14:$M$24,0),1),0),0)</f>
        <v>10</v>
      </c>
      <c r="E5" s="51">
        <f>IFERROR(IF(PORs!E5&gt;0,INDEX(data!$K$14:$M$24,MATCH($B5&amp;$B$4,data!$M$14:$M$24,0),1),0),0)</f>
        <v>10</v>
      </c>
      <c r="F5" s="51">
        <f>IFERROR(IF(PORs!F5&gt;0,INDEX(data!$K$14:$M$24,MATCH($B5&amp;$B$4,data!$M$14:$M$24,0),1),0),0)</f>
        <v>10</v>
      </c>
      <c r="G5" s="51">
        <f>IFERROR(IF(PORs!G5&gt;0,INDEX(data!$K$14:$M$24,MATCH($B5&amp;$B$4,data!$M$14:$M$24,0),1),0),0)</f>
        <v>10</v>
      </c>
      <c r="H5" s="51">
        <f>IFERROR(IF(PORs!H5&gt;0,INDEX(data!$K$14:$M$24,MATCH($B5&amp;$B$4,data!$M$14:$M$24,0),1),0),0)</f>
        <v>0</v>
      </c>
      <c r="I5" s="51">
        <f>IFERROR(IF(PORs!I5&gt;0,INDEX(data!$K$14:$M$24,MATCH($B5&amp;$B$4,data!$M$14:$M$24,0),1),0),0)</f>
        <v>0</v>
      </c>
      <c r="J5" s="51">
        <f>IFERROR(IF(PORs!J5&gt;0,INDEX(data!$K$14:$M$24,MATCH($B5&amp;$B$4,data!$M$14:$M$24,0),1),0),0)</f>
        <v>0</v>
      </c>
      <c r="L5" s="55" t="s">
        <v>21</v>
      </c>
      <c r="M5" s="51">
        <f>IFERROR(IF(PORs!C5&gt;0,INDEX(data!$K$14:$M$24,MATCH($B5&amp;$B$4,data!$M$14:$M$24,0),2)*PORs!C5,0),0)</f>
        <v>356</v>
      </c>
      <c r="N5" s="51">
        <f>IFERROR(IF(PORs!D5&gt;0,INDEX(data!$K$14:$M$24,MATCH($B5&amp;$B$4,data!$M$14:$M$24,0),2)*PORs!D5,0),0)</f>
        <v>504.5</v>
      </c>
      <c r="O5" s="51">
        <f>IFERROR(IF(PORs!E5&gt;0,INDEX(data!$K$14:$M$24,MATCH($B5&amp;$B$4,data!$M$14:$M$24,0),2)*PORs!E5,0),0)</f>
        <v>557</v>
      </c>
      <c r="P5" s="51">
        <f>IFERROR(IF(PORs!F5&gt;0,INDEX(data!$K$14:$M$24,MATCH($B5&amp;$B$4,data!$M$14:$M$24,0),2)*PORs!F5,0),0)</f>
        <v>390.5</v>
      </c>
      <c r="Q5" s="51">
        <f>IFERROR(IF(PORs!G5&gt;0,INDEX(data!$K$14:$M$24,MATCH($B5&amp;$B$4,data!$M$14:$M$24,0),2)*PORs!G5,0),0)</f>
        <v>269</v>
      </c>
      <c r="R5" s="51">
        <f>IFERROR(IF(PORs!H5&gt;0,INDEX(data!$K$14:$M$24,MATCH($B5&amp;$B$4,data!$M$14:$M$24,0),2)*PORs!H5,0),0)</f>
        <v>0</v>
      </c>
      <c r="S5" s="51">
        <f>IFERROR(IF(PORs!I5&gt;0,INDEX(data!$K$14:$M$24,MATCH($B5&amp;$B$4,data!$M$14:$M$24,0),2)*PORs!I5,0),0)</f>
        <v>0</v>
      </c>
      <c r="T5" s="51">
        <f>IFERROR(IF(PORs!J5&gt;0,INDEX(data!$K$14:$M$24,MATCH($B5&amp;$B$4,data!$M$14:$M$24,0),2)*PORs!J5,0),0)</f>
        <v>0</v>
      </c>
      <c r="X5" s="56">
        <v>2</v>
      </c>
      <c r="Y5" s="53">
        <f t="shared" ref="Y5:AF5" si="9">C14+M14</f>
        <v>4880.55</v>
      </c>
      <c r="Z5" s="53">
        <f t="shared" si="9"/>
        <v>6042.6</v>
      </c>
      <c r="AA5" s="53">
        <f t="shared" si="9"/>
        <v>5431.35</v>
      </c>
      <c r="AB5" s="53">
        <f t="shared" si="9"/>
        <v>3797.4</v>
      </c>
      <c r="AC5" s="53">
        <f t="shared" si="9"/>
        <v>1594.2</v>
      </c>
      <c r="AD5" s="53">
        <f t="shared" si="9"/>
        <v>12</v>
      </c>
      <c r="AE5" s="53">
        <f t="shared" si="9"/>
        <v>0</v>
      </c>
      <c r="AF5" s="53">
        <f t="shared" si="9"/>
        <v>0</v>
      </c>
    </row>
    <row r="6" spans="2:32" x14ac:dyDescent="0.2">
      <c r="B6" s="51" t="s">
        <v>22</v>
      </c>
      <c r="C6" s="51">
        <f>IFERROR(IF(PORs!C6&gt;0,INDEX(data!$K$14:$M$24,MATCH($B6&amp;$B$4,data!$M$14:$M$24,0),1),0),0)</f>
        <v>7</v>
      </c>
      <c r="D6" s="51">
        <f>IFERROR(IF(PORs!D6&gt;0,INDEX(data!$K$14:$M$24,MATCH($B6&amp;$B$4,data!$M$14:$M$24,0),1),0),0)</f>
        <v>7</v>
      </c>
      <c r="E6" s="51">
        <f>IFERROR(IF(PORs!E6&gt;0,INDEX(data!$K$14:$M$24,MATCH($B6&amp;$B$4,data!$M$14:$M$24,0),1),0),0)</f>
        <v>7</v>
      </c>
      <c r="F6" s="51">
        <f>IFERROR(IF(PORs!F6&gt;0,INDEX(data!$K$14:$M$24,MATCH($B6&amp;$B$4,data!$M$14:$M$24,0),1),0),0)</f>
        <v>0</v>
      </c>
      <c r="G6" s="51">
        <f>IFERROR(IF(PORs!G6&gt;0,INDEX(data!$K$14:$M$24,MATCH($B6&amp;$B$4,data!$M$14:$M$24,0),1),0),0)</f>
        <v>0</v>
      </c>
      <c r="H6" s="51">
        <f>IFERROR(IF(PORs!H6&gt;0,INDEX(data!$K$14:$M$24,MATCH($B6&amp;$B$4,data!$M$14:$M$24,0),1),0),0)</f>
        <v>0</v>
      </c>
      <c r="I6" s="51">
        <f>IFERROR(IF(PORs!I6&gt;0,INDEX(data!$K$14:$M$24,MATCH($B6&amp;$B$4,data!$M$14:$M$24,0),1),0),0)</f>
        <v>0</v>
      </c>
      <c r="J6" s="51">
        <f>IFERROR(IF(PORs!J6&gt;0,INDEX(data!$K$14:$M$24,MATCH($B6&amp;$B$4,data!$M$14:$M$24,0),1),0),0)</f>
        <v>0</v>
      </c>
      <c r="L6" s="51" t="s">
        <v>22</v>
      </c>
      <c r="M6" s="51">
        <f>IFERROR(IF(PORs!C6&gt;0,INDEX(data!$K$14:$M$24,MATCH($B6&amp;$B$4,data!$M$14:$M$24,0),2)*PORs!C6,0),0)</f>
        <v>557</v>
      </c>
      <c r="N6" s="51">
        <f>IFERROR(IF(PORs!D6&gt;0,INDEX(data!$K$14:$M$24,MATCH($B6&amp;$B$4,data!$M$14:$M$24,0),2)*PORs!D6,0),0)</f>
        <v>390.5</v>
      </c>
      <c r="O6" s="51">
        <f>IFERROR(IF(PORs!E6&gt;0,INDEX(data!$K$14:$M$24,MATCH($B6&amp;$B$4,data!$M$14:$M$24,0),2)*PORs!E6,0),0)</f>
        <v>269</v>
      </c>
      <c r="P6" s="51">
        <f>IFERROR(IF(PORs!F6&gt;0,INDEX(data!$K$14:$M$24,MATCH($B6&amp;$B$4,data!$M$14:$M$24,0),2)*PORs!F6,0),0)</f>
        <v>0</v>
      </c>
      <c r="Q6" s="51">
        <f>IFERROR(IF(PORs!G6&gt;0,INDEX(data!$K$14:$M$24,MATCH($B6&amp;$B$4,data!$M$14:$M$24,0),2)*PORs!G6,0),0)</f>
        <v>0</v>
      </c>
      <c r="R6" s="51">
        <f>IFERROR(IF(PORs!H6&gt;0,INDEX(data!$K$14:$M$24,MATCH($B6&amp;$B$4,data!$M$14:$M$24,0),2)*PORs!H6,0),0)</f>
        <v>0</v>
      </c>
      <c r="S6" s="51">
        <f>IFERROR(IF(PORs!I6&gt;0,INDEX(data!$K$14:$M$24,MATCH($B6&amp;$B$4,data!$M$14:$M$24,0),2)*PORs!I6,0),0)</f>
        <v>0</v>
      </c>
      <c r="T6" s="51">
        <f>IFERROR(IF(PORs!J6&gt;0,INDEX(data!$K$14:$M$24,MATCH($B6&amp;$B$4,data!$M$14:$M$24,0),2)*PORs!J6,0),0)</f>
        <v>0</v>
      </c>
    </row>
    <row r="7" spans="2:32" ht="18.75" x14ac:dyDescent="0.2">
      <c r="B7" s="51" t="s">
        <v>23</v>
      </c>
      <c r="C7" s="51">
        <f>IFERROR(IF(PORs!C7&gt;0,INDEX(data!$K$14:$M$24,MATCH($B7&amp;$B$4,data!$M$14:$M$24,0),1),0),0)</f>
        <v>0</v>
      </c>
      <c r="D7" s="51">
        <f>IFERROR(IF(PORs!D7&gt;0,INDEX(data!$K$14:$M$24,MATCH($B7&amp;$B$4,data!$M$14:$M$24,0),1),0),0)</f>
        <v>0</v>
      </c>
      <c r="E7" s="51">
        <f>IFERROR(IF(PORs!E7&gt;0,INDEX(data!$K$14:$M$24,MATCH($B7&amp;$B$4,data!$M$14:$M$24,0),1),0),0)</f>
        <v>0</v>
      </c>
      <c r="F7" s="51">
        <f>IFERROR(IF(PORs!F7&gt;0,INDEX(data!$K$14:$M$24,MATCH($B7&amp;$B$4,data!$M$14:$M$24,0),1),0),0)</f>
        <v>0</v>
      </c>
      <c r="G7" s="51">
        <f>IFERROR(IF(PORs!G7&gt;0,INDEX(data!$K$14:$M$24,MATCH($B7&amp;$B$4,data!$M$14:$M$24,0),1),0),0)</f>
        <v>0</v>
      </c>
      <c r="H7" s="51">
        <f>IFERROR(IF(PORs!H7&gt;0,INDEX(data!$K$14:$M$24,MATCH($B7&amp;$B$4,data!$M$14:$M$24,0),1),0),0)</f>
        <v>0</v>
      </c>
      <c r="I7" s="51">
        <f>IFERROR(IF(PORs!I7&gt;0,INDEX(data!$K$14:$M$24,MATCH($B7&amp;$B$4,data!$M$14:$M$24,0),1),0),0)</f>
        <v>0</v>
      </c>
      <c r="J7" s="51">
        <f>IFERROR(IF(PORs!J7&gt;0,INDEX(data!$K$14:$M$24,MATCH($B7&amp;$B$4,data!$M$14:$M$24,0),1),0),0)</f>
        <v>0</v>
      </c>
      <c r="L7" s="51" t="s">
        <v>23</v>
      </c>
      <c r="M7" s="51">
        <f>IFERROR(IF(PORs!C7&gt;0,INDEX(data!$K$14:$M$24,MATCH($B7&amp;$B$4,data!$M$14:$M$24,0),2)*PORs!C7,0),0)</f>
        <v>0</v>
      </c>
      <c r="N7" s="51">
        <f>IFERROR(IF(PORs!D7&gt;0,INDEX(data!$K$14:$M$24,MATCH($B7&amp;$B$4,data!$M$14:$M$24,0),2)*PORs!D7,0),0)</f>
        <v>0</v>
      </c>
      <c r="O7" s="51">
        <f>IFERROR(IF(PORs!E7&gt;0,INDEX(data!$K$14:$M$24,MATCH($B7&amp;$B$4,data!$M$14:$M$24,0),2)*PORs!E7,0),0)</f>
        <v>0</v>
      </c>
      <c r="P7" s="51">
        <f>IFERROR(IF(PORs!F7&gt;0,INDEX(data!$K$14:$M$24,MATCH($B7&amp;$B$4,data!$M$14:$M$24,0),2)*PORs!F7,0),0)</f>
        <v>0</v>
      </c>
      <c r="Q7" s="51">
        <f>IFERROR(IF(PORs!G7&gt;0,INDEX(data!$K$14:$M$24,MATCH($B7&amp;$B$4,data!$M$14:$M$24,0),2)*PORs!G7,0),0)</f>
        <v>0</v>
      </c>
      <c r="R7" s="51">
        <f>IFERROR(IF(PORs!H7&gt;0,INDEX(data!$K$14:$M$24,MATCH($B7&amp;$B$4,data!$M$14:$M$24,0),2)*PORs!H7,0),0)</f>
        <v>0</v>
      </c>
      <c r="S7" s="51">
        <f>IFERROR(IF(PORs!I7&gt;0,INDEX(data!$K$14:$M$24,MATCH($B7&amp;$B$4,data!$M$14:$M$24,0),2)*PORs!I7,0),0)</f>
        <v>0</v>
      </c>
      <c r="T7" s="51">
        <f>IFERROR(IF(PORs!J7&gt;0,INDEX(data!$K$14:$M$24,MATCH($B7&amp;$B$4,data!$M$14:$M$24,0),2)*PORs!J7,0),0)</f>
        <v>0</v>
      </c>
      <c r="X7" s="123" t="s">
        <v>69</v>
      </c>
      <c r="Y7" s="124"/>
      <c r="Z7" s="124"/>
      <c r="AA7" s="124"/>
      <c r="AB7" s="124"/>
      <c r="AC7" s="124"/>
      <c r="AD7" s="59"/>
      <c r="AE7" s="59"/>
      <c r="AF7" s="59"/>
    </row>
    <row r="8" spans="2:32" ht="15" x14ac:dyDescent="0.2">
      <c r="B8" s="55" t="s">
        <v>24</v>
      </c>
      <c r="C8" s="51">
        <f>IFERROR(IF(PORs!C8&gt;0,INDEX(data!$K$14:$M$24,MATCH($B8&amp;$B$4,data!$M$14:$M$24,0),1),0),0)</f>
        <v>8</v>
      </c>
      <c r="D8" s="51">
        <f>IFERROR(IF(PORs!D8&gt;0,INDEX(data!$K$14:$M$24,MATCH($B8&amp;$B$4,data!$M$14:$M$24,0),1),0),0)+C18/10*8</f>
        <v>16</v>
      </c>
      <c r="E8" s="51">
        <f>IFERROR(IF(PORs!E8&gt;0,INDEX(data!$K$14:$M$24,MATCH($B8&amp;$B$4,data!$M$14:$M$24,0),1),0),0)+D18/10*8</f>
        <v>16</v>
      </c>
      <c r="F8" s="51">
        <f>IFERROR(IF(PORs!F8&gt;0,INDEX(data!$K$14:$M$24,MATCH($B8&amp;$B$4,data!$M$14:$M$24,0),1),0),0)+E18/10*8</f>
        <v>16</v>
      </c>
      <c r="G8" s="51">
        <f>IFERROR(IF(PORs!G8&gt;0,INDEX(data!$K$14:$M$24,MATCH($B8&amp;$B$4,data!$M$14:$M$24,0),1),0),0)+F18/10*8</f>
        <v>16</v>
      </c>
      <c r="H8" s="51">
        <f>IFERROR(IF(PORs!H8&gt;0,INDEX(data!$K$14:$M$24,MATCH($B8&amp;$B$4,data!$M$14:$M$24,0),1),0),0)+G18/10*8</f>
        <v>8</v>
      </c>
      <c r="I8" s="51">
        <f>IFERROR(IF(PORs!I8&gt;0,INDEX(data!$K$14:$M$24,MATCH($B8&amp;$B$4,data!$M$14:$M$24,0),1),0),0)+H18/10*8</f>
        <v>0</v>
      </c>
      <c r="J8" s="51">
        <f>IFERROR(IF(PORs!J8&gt;0,INDEX(data!$K$14:$M$24,MATCH($B8&amp;$B$4,data!$M$14:$M$24,0),1),0),0)+I18/10*8</f>
        <v>0</v>
      </c>
      <c r="L8" s="55" t="s">
        <v>24</v>
      </c>
      <c r="M8" s="51">
        <f>IFERROR(IF(PORs!C8&gt;0,INDEX(data!$K$14:$M$24,MATCH($B8&amp;$B$4,data!$M$14:$M$24,0),2)*PORs!C8,0),0)</f>
        <v>534</v>
      </c>
      <c r="N8" s="51">
        <f>IFERROR(IF(PORs!D8&gt;0,INDEX(data!$K$14:$M$24,MATCH($B8&amp;$B$4,data!$M$14:$M$24,0),2)*PORs!D8,0),0)</f>
        <v>756.75</v>
      </c>
      <c r="O8" s="51">
        <f>IFERROR(IF(PORs!E8&gt;0,INDEX(data!$K$14:$M$24,MATCH($B8&amp;$B$4,data!$M$14:$M$24,0),2)*PORs!E8,0),0)</f>
        <v>835.5</v>
      </c>
      <c r="P8" s="51">
        <f>IFERROR(IF(PORs!F8&gt;0,INDEX(data!$K$14:$M$24,MATCH($B8&amp;$B$4,data!$M$14:$M$24,0),2)*PORs!F8,0),0)</f>
        <v>585.75</v>
      </c>
      <c r="Q8" s="51">
        <f>IFERROR(IF(PORs!G8&gt;0,INDEX(data!$K$14:$M$24,MATCH($B8&amp;$B$4,data!$M$14:$M$24,0),2)*PORs!G8,0),0)</f>
        <v>403.5</v>
      </c>
      <c r="R8" s="51">
        <f>IFERROR(IF(PORs!H8&gt;0,INDEX(data!$K$14:$M$24,MATCH($B8&amp;$B$4,data!$M$14:$M$24,0),2)*PORs!H8,0),0)</f>
        <v>0</v>
      </c>
      <c r="S8" s="51">
        <f>IFERROR(IF(PORs!I8&gt;0,INDEX(data!$K$14:$M$24,MATCH($B8&amp;$B$4,data!$M$14:$M$24,0),2)*PORs!I8,0),0)</f>
        <v>0</v>
      </c>
      <c r="T8" s="51">
        <f>IFERROR(IF(PORs!J8&gt;0,INDEX(data!$K$14:$M$24,MATCH($B8&amp;$B$4,data!$M$14:$M$24,0),2)*PORs!J8,0),0)</f>
        <v>0</v>
      </c>
      <c r="X8" s="53" t="s">
        <v>32</v>
      </c>
      <c r="Y8" s="53" t="s">
        <v>6</v>
      </c>
      <c r="Z8" s="53" t="s">
        <v>0</v>
      </c>
      <c r="AA8" s="53" t="s">
        <v>33</v>
      </c>
      <c r="AB8" s="53" t="s">
        <v>34</v>
      </c>
      <c r="AC8" s="53" t="s">
        <v>63</v>
      </c>
    </row>
    <row r="9" spans="2:32" x14ac:dyDescent="0.2">
      <c r="B9" s="55" t="s">
        <v>25</v>
      </c>
      <c r="C9" s="51">
        <f>IFERROR(IF(PORs!C9&gt;0,INDEX(data!$K$14:$M$24,MATCH($B9&amp;$B$4,data!$M$14:$M$24,0),1),0),0)</f>
        <v>0</v>
      </c>
      <c r="D9" s="51">
        <f>IFERROR(IF(PORs!D9&gt;0,INDEX(data!$K$14:$M$24,MATCH($B9&amp;$B$4,data!$M$14:$M$24,0),1),0),0)</f>
        <v>0</v>
      </c>
      <c r="E9" s="51">
        <f>IFERROR(IF(PORs!E9&gt;0,INDEX(data!$K$14:$M$24,MATCH($B9&amp;$B$4,data!$M$14:$M$24,0),1),0),0)</f>
        <v>0</v>
      </c>
      <c r="F9" s="51">
        <f>IFERROR(IF(PORs!F9&gt;0,INDEX(data!$K$14:$M$24,MATCH($B9&amp;$B$4,data!$M$14:$M$24,0),1),0),0)</f>
        <v>0</v>
      </c>
      <c r="G9" s="51">
        <f>IFERROR(IF(PORs!G9&gt;0,INDEX(data!$K$14:$M$24,MATCH($B9&amp;$B$4,data!$M$14:$M$24,0),1),0),0)</f>
        <v>0</v>
      </c>
      <c r="H9" s="51">
        <f>IFERROR(IF(PORs!H9&gt;0,INDEX(data!$K$14:$M$24,MATCH($B9&amp;$B$4,data!$M$14:$M$24,0),1),0),0)</f>
        <v>0</v>
      </c>
      <c r="I9" s="51">
        <f>IFERROR(IF(PORs!I9&gt;0,INDEX(data!$K$14:$M$24,MATCH($B9&amp;$B$4,data!$M$14:$M$24,0),1),0),0)</f>
        <v>0</v>
      </c>
      <c r="J9" s="51">
        <f>IFERROR(IF(PORs!J9&gt;0,INDEX(data!$K$14:$M$24,MATCH($B9&amp;$B$4,data!$M$14:$M$24,0),1),0),0)</f>
        <v>0</v>
      </c>
      <c r="L9" s="55" t="s">
        <v>25</v>
      </c>
      <c r="M9" s="51">
        <f>IFERROR(IF(PORs!C9&gt;0,INDEX(data!$K$14:$M$24,MATCH($B9&amp;$B$4,data!$M$14:$M$24,0),2)*PORs!C9,0),0)</f>
        <v>0</v>
      </c>
      <c r="N9" s="51">
        <f>IFERROR(IF(PORs!D9&gt;0,INDEX(data!$K$14:$M$24,MATCH($B9&amp;$B$4,data!$M$14:$M$24,0),2)*PORs!D9,0),0)</f>
        <v>0</v>
      </c>
      <c r="O9" s="51">
        <f>IFERROR(IF(PORs!E9&gt;0,INDEX(data!$K$14:$M$24,MATCH($B9&amp;$B$4,data!$M$14:$M$24,0),2)*PORs!E9,0),0)</f>
        <v>0</v>
      </c>
      <c r="P9" s="51">
        <f>IFERROR(IF(PORs!F9&gt;0,INDEX(data!$K$14:$M$24,MATCH($B9&amp;$B$4,data!$M$14:$M$24,0),2)*PORs!F9,0),0)</f>
        <v>0</v>
      </c>
      <c r="Q9" s="51">
        <f>IFERROR(IF(PORs!G9&gt;0,INDEX(data!$K$14:$M$24,MATCH($B9&amp;$B$4,data!$M$14:$M$24,0),2)*PORs!G9,0),0)</f>
        <v>0</v>
      </c>
      <c r="R9" s="51">
        <f>IFERROR(IF(PORs!H9&gt;0,INDEX(data!$K$14:$M$24,MATCH($B9&amp;$B$4,data!$M$14:$M$24,0),2)*PORs!H9,0),0)</f>
        <v>0</v>
      </c>
      <c r="S9" s="51">
        <f>IFERROR(IF(PORs!I9&gt;0,INDEX(data!$K$14:$M$24,MATCH($B9&amp;$B$4,data!$M$14:$M$24,0),2)*PORs!I9,0),0)</f>
        <v>0</v>
      </c>
      <c r="T9" s="51">
        <f>IFERROR(IF(PORs!J9&gt;0,INDEX(data!$K$14:$M$24,MATCH($B9&amp;$B$4,data!$M$14:$M$24,0),2)*PORs!J9,0),0)</f>
        <v>0</v>
      </c>
      <c r="X9" s="51" t="s">
        <v>21</v>
      </c>
      <c r="Y9" s="51">
        <v>9</v>
      </c>
      <c r="Z9" s="51">
        <v>1</v>
      </c>
      <c r="AA9" s="51">
        <v>10</v>
      </c>
      <c r="AB9" s="51">
        <f>data!L15*'MRP A'!D10</f>
        <v>758.4</v>
      </c>
      <c r="AC9" s="51">
        <f>AB9+AA9</f>
        <v>768.4</v>
      </c>
    </row>
    <row r="10" spans="2:32" x14ac:dyDescent="0.2">
      <c r="B10" s="55" t="s">
        <v>26</v>
      </c>
      <c r="C10" s="51">
        <f>IFERROR(IF(PORs!C10&gt;0,INDEX(data!$K$14:$M$24,MATCH($B10&amp;$B$4,data!$M$14:$M$24,0),1),0),0)</f>
        <v>10</v>
      </c>
      <c r="D10" s="51">
        <f>IFERROR(IF(PORs!D10&gt;0,INDEX(data!$K$14:$M$24,MATCH($B10&amp;$B$4,data!$M$14:$M$24,0),1),0),0)</f>
        <v>10</v>
      </c>
      <c r="E10" s="51">
        <f>IFERROR(IF(PORs!E10&gt;0,INDEX(data!$K$14:$M$24,MATCH($B10&amp;$B$4,data!$M$14:$M$24,0),1),0),0)</f>
        <v>10</v>
      </c>
      <c r="F10" s="51">
        <f>IFERROR(IF(PORs!F10&gt;0,INDEX(data!$K$14:$M$24,MATCH($B10&amp;$B$4,data!$M$14:$M$24,0),1),0),0)</f>
        <v>10</v>
      </c>
      <c r="G10" s="51">
        <f>IFERROR(IF(PORs!G10&gt;0,INDEX(data!$K$14:$M$24,MATCH($B10&amp;$B$4,data!$M$14:$M$24,0),1),0),0)</f>
        <v>10</v>
      </c>
      <c r="H10" s="51">
        <f>IFERROR(IF(PORs!H10&gt;0,INDEX(data!$K$14:$M$24,MATCH($B10&amp;$B$4,data!$M$14:$M$24,0),1),0),0)</f>
        <v>0</v>
      </c>
      <c r="I10" s="51">
        <f>IFERROR(IF(PORs!I10&gt;0,INDEX(data!$K$14:$M$24,MATCH($B10&amp;$B$4,data!$M$14:$M$24,0),1),0),0)</f>
        <v>0</v>
      </c>
      <c r="J10" s="51">
        <f>IFERROR(IF(PORs!J10&gt;0,INDEX(data!$K$14:$M$24,MATCH($B10&amp;$B$4,data!$M$14:$M$24,0),1),0),0)</f>
        <v>0</v>
      </c>
      <c r="L10" s="55" t="s">
        <v>26</v>
      </c>
      <c r="M10" s="51">
        <f>IFERROR(IF(PORs!C10&gt;0,INDEX(data!$K$14:$M$24,MATCH($B10&amp;$B$4,data!$M$14:$M$24,0),2)*PORs!C10,0),0)</f>
        <v>1068</v>
      </c>
      <c r="N10" s="51">
        <f>IFERROR(IF(PORs!D10&gt;0,INDEX(data!$K$14:$M$24,MATCH($B10&amp;$B$4,data!$M$14:$M$24,0),2)*PORs!D10,0),0)</f>
        <v>1513.5</v>
      </c>
      <c r="O10" s="51">
        <f>IFERROR(IF(PORs!E10&gt;0,INDEX(data!$K$14:$M$24,MATCH($B10&amp;$B$4,data!$M$14:$M$24,0),2)*PORs!E10,0),0)</f>
        <v>1671</v>
      </c>
      <c r="P10" s="51">
        <f>IFERROR(IF(PORs!F10&gt;0,INDEX(data!$K$14:$M$24,MATCH($B10&amp;$B$4,data!$M$14:$M$24,0),2)*PORs!F10,0),0)</f>
        <v>1171.5</v>
      </c>
      <c r="Q10" s="51">
        <f>IFERROR(IF(PORs!G10&gt;0,INDEX(data!$K$14:$M$24,MATCH($B10&amp;$B$4,data!$M$14:$M$24,0),2)*PORs!G10,0),0)</f>
        <v>807</v>
      </c>
      <c r="R10" s="51">
        <f>IFERROR(IF(PORs!H10&gt;0,INDEX(data!$K$14:$M$24,MATCH($B10&amp;$B$4,data!$M$14:$M$24,0),2)*PORs!H10,0),0)</f>
        <v>0</v>
      </c>
      <c r="S10" s="51">
        <f>IFERROR(IF(PORs!I10&gt;0,INDEX(data!$K$14:$M$24,MATCH($B10&amp;$B$4,data!$M$14:$M$24,0),2)*PORs!I10,0),0)</f>
        <v>0</v>
      </c>
      <c r="T10" s="51">
        <f>IFERROR(IF(PORs!J10&gt;0,INDEX(data!$K$14:$M$24,MATCH($B10&amp;$B$4,data!$M$14:$M$24,0),2)*PORs!J10,0),0)</f>
        <v>0</v>
      </c>
      <c r="X10" s="51" t="s">
        <v>22</v>
      </c>
      <c r="Y10" s="51">
        <v>9</v>
      </c>
      <c r="Z10" s="51">
        <v>1</v>
      </c>
      <c r="AA10" s="51">
        <v>7</v>
      </c>
      <c r="AB10" s="51">
        <f>data!L16*'MRP A1'!D10</f>
        <v>1008</v>
      </c>
      <c r="AC10" s="51">
        <f t="shared" ref="AC10:AC16" si="10">AB10+AA10</f>
        <v>1015</v>
      </c>
    </row>
    <row r="11" spans="2:32" x14ac:dyDescent="0.2">
      <c r="X11" s="51" t="s">
        <v>23</v>
      </c>
      <c r="Y11" s="51">
        <v>9</v>
      </c>
      <c r="Z11" s="51">
        <v>2</v>
      </c>
      <c r="AA11" s="51">
        <v>9</v>
      </c>
      <c r="AB11" s="51">
        <f>data!L17*'MRP A2'!D10</f>
        <v>336</v>
      </c>
      <c r="AC11" s="51">
        <f t="shared" si="10"/>
        <v>345</v>
      </c>
    </row>
    <row r="12" spans="2:32" ht="18.75" x14ac:dyDescent="0.2">
      <c r="B12" s="127" t="s">
        <v>65</v>
      </c>
      <c r="C12" s="128"/>
      <c r="D12" s="128"/>
      <c r="E12" s="128"/>
      <c r="F12" s="128"/>
      <c r="G12" s="128"/>
      <c r="H12" s="128"/>
      <c r="I12" s="128"/>
      <c r="J12" s="128"/>
      <c r="L12" s="127" t="s">
        <v>66</v>
      </c>
      <c r="M12" s="128"/>
      <c r="N12" s="128"/>
      <c r="O12" s="128"/>
      <c r="P12" s="128"/>
      <c r="Q12" s="128"/>
      <c r="R12" s="128"/>
      <c r="S12" s="128"/>
      <c r="T12" s="128"/>
      <c r="X12" s="121" t="s">
        <v>24</v>
      </c>
      <c r="Y12" s="51">
        <v>9</v>
      </c>
      <c r="Z12" s="51">
        <v>2</v>
      </c>
      <c r="AA12" s="51">
        <v>10</v>
      </c>
      <c r="AB12" s="51">
        <f>data!L18*'MRP B'!D10</f>
        <v>316</v>
      </c>
      <c r="AC12" s="51">
        <f t="shared" si="10"/>
        <v>326</v>
      </c>
    </row>
    <row r="13" spans="2:32" x14ac:dyDescent="0.2">
      <c r="B13" s="51" t="s">
        <v>32</v>
      </c>
      <c r="C13" s="51">
        <v>9</v>
      </c>
      <c r="D13" s="51">
        <v>10</v>
      </c>
      <c r="E13" s="51">
        <v>11</v>
      </c>
      <c r="F13" s="51">
        <v>12</v>
      </c>
      <c r="G13" s="51">
        <v>13</v>
      </c>
      <c r="H13" s="51">
        <v>14</v>
      </c>
      <c r="I13" s="51">
        <v>15</v>
      </c>
      <c r="J13" s="51">
        <v>16</v>
      </c>
      <c r="L13" s="51" t="s">
        <v>32</v>
      </c>
      <c r="M13" s="51">
        <v>9</v>
      </c>
      <c r="N13" s="51">
        <v>10</v>
      </c>
      <c r="O13" s="51">
        <v>11</v>
      </c>
      <c r="P13" s="51">
        <v>12</v>
      </c>
      <c r="Q13" s="51">
        <v>13</v>
      </c>
      <c r="R13" s="51">
        <v>14</v>
      </c>
      <c r="S13" s="51">
        <v>15</v>
      </c>
      <c r="T13" s="51">
        <v>16</v>
      </c>
      <c r="X13" s="122"/>
      <c r="Y13" s="51">
        <v>10</v>
      </c>
      <c r="Z13" s="51">
        <v>1</v>
      </c>
      <c r="AA13" s="51">
        <v>8</v>
      </c>
      <c r="AB13" s="51">
        <f>data!L19*'MRP B'!E10</f>
        <v>536.25</v>
      </c>
      <c r="AC13" s="51">
        <f t="shared" si="10"/>
        <v>544.25</v>
      </c>
    </row>
    <row r="14" spans="2:32" ht="15" x14ac:dyDescent="0.2">
      <c r="B14" s="56">
        <v>2</v>
      </c>
      <c r="C14" s="53">
        <f>SUM(C15:C20)</f>
        <v>41</v>
      </c>
      <c r="D14" s="53">
        <f t="shared" ref="D14" si="11">SUM(D15:D20)</f>
        <v>53</v>
      </c>
      <c r="E14" s="53">
        <f t="shared" ref="E14" si="12">SUM(E15:E20)</f>
        <v>53</v>
      </c>
      <c r="F14" s="53">
        <f t="shared" ref="F14" si="13">SUM(F15:F20)</f>
        <v>53</v>
      </c>
      <c r="G14" s="53">
        <f t="shared" ref="G14" si="14">SUM(G15:G20)</f>
        <v>34</v>
      </c>
      <c r="H14" s="53">
        <f t="shared" ref="H14" si="15">SUM(H15:H20)</f>
        <v>12</v>
      </c>
      <c r="I14" s="53">
        <f t="shared" ref="I14" si="16">SUM(I15:I20)</f>
        <v>0</v>
      </c>
      <c r="J14" s="53">
        <f t="shared" ref="J14" si="17">SUM(J15:J20)</f>
        <v>0</v>
      </c>
      <c r="L14" s="57">
        <v>2</v>
      </c>
      <c r="M14" s="53">
        <f>SUM(M15:M20)</f>
        <v>4839.55</v>
      </c>
      <c r="N14" s="53">
        <f t="shared" ref="N14" si="18">SUM(N15:N20)</f>
        <v>5989.6</v>
      </c>
      <c r="O14" s="53">
        <f t="shared" ref="O14" si="19">SUM(O15:O20)</f>
        <v>5378.35</v>
      </c>
      <c r="P14" s="53">
        <f t="shared" ref="P14" si="20">SUM(P15:P20)</f>
        <v>3744.4</v>
      </c>
      <c r="Q14" s="53">
        <f t="shared" ref="Q14" si="21">SUM(Q15:Q20)</f>
        <v>1560.2</v>
      </c>
      <c r="R14" s="53">
        <f t="shared" ref="R14" si="22">SUM(R15:R20)</f>
        <v>0</v>
      </c>
      <c r="S14" s="53">
        <f t="shared" ref="S14" si="23">SUM(S15:S20)</f>
        <v>0</v>
      </c>
      <c r="T14" s="53">
        <f t="shared" ref="T14" si="24">SUM(T15:T20)</f>
        <v>0</v>
      </c>
      <c r="X14" s="51" t="s">
        <v>25</v>
      </c>
      <c r="Y14" s="51">
        <v>9</v>
      </c>
      <c r="Z14" s="51">
        <v>2</v>
      </c>
      <c r="AA14" s="51">
        <v>10</v>
      </c>
      <c r="AB14" s="51">
        <f>data!L20*'MRP C'!D10</f>
        <v>1173.6000000000001</v>
      </c>
      <c r="AC14" s="51">
        <f t="shared" si="10"/>
        <v>1183.6000000000001</v>
      </c>
    </row>
    <row r="15" spans="2:32" x14ac:dyDescent="0.2">
      <c r="B15" s="55" t="s">
        <v>21</v>
      </c>
      <c r="C15" s="51">
        <f>IFERROR(IF(PORs!C5&gt;0,INDEX(data!$K$14:$M$24,MATCH($B15&amp;$B$14,data!$M$14:$M$24,0),1),0),0)</f>
        <v>0</v>
      </c>
      <c r="D15" s="51">
        <f>IFERROR(IF(PORs!D5&gt;0,INDEX(data!$K$14:$M$24,MATCH($B15&amp;$B$14,data!$M$14:$M$24,0),1),0),0)</f>
        <v>0</v>
      </c>
      <c r="E15" s="51">
        <f>IFERROR(IF(PORs!E5&gt;0,INDEX(data!$K$14:$M$24,MATCH($B15&amp;$B$14,data!$M$14:$M$24,0),1),0),0)</f>
        <v>0</v>
      </c>
      <c r="F15" s="51">
        <f>IFERROR(IF(PORs!F5&gt;0,INDEX(data!$K$14:$M$24,MATCH($B15&amp;$B$14,data!$M$14:$M$24,0),1),0),0)</f>
        <v>0</v>
      </c>
      <c r="G15" s="51">
        <f>IFERROR(IF(PORs!G5&gt;0,INDEX(data!$K$14:$M$24,MATCH($B15&amp;$B$14,data!$M$14:$M$24,0),1),0),0)</f>
        <v>0</v>
      </c>
      <c r="H15" s="51">
        <f>IFERROR(IF(PORs!H5&gt;0,INDEX(data!$K$14:$M$24,MATCH($B15&amp;$B$14,data!$M$14:$M$24,0),1),0),0)</f>
        <v>0</v>
      </c>
      <c r="I15" s="51">
        <f>IFERROR(IF(PORs!I5&gt;0,INDEX(data!$K$14:$M$24,MATCH($B15&amp;$B$14,data!$M$14:$M$24,0),1),0),0)</f>
        <v>0</v>
      </c>
      <c r="J15" s="51">
        <f>IFERROR(IF(PORs!J5&gt;0,INDEX(data!$K$14:$M$24,MATCH($B15&amp;$B$14,data!$M$14:$M$24,0),1),0),0)</f>
        <v>0</v>
      </c>
      <c r="L15" s="55" t="s">
        <v>21</v>
      </c>
      <c r="M15" s="51">
        <f>IFERROR(IF(PORs!C5&gt;0,INDEX(data!$K$14:$M$24,MATCH($B15&amp;$B$14,data!$M$14:$M$24,0),2)*PORs!C5,0),0)</f>
        <v>0</v>
      </c>
      <c r="N15" s="51">
        <f>IFERROR(IF(PORs!D5&gt;0,INDEX(data!$K$14:$M$24,MATCH($B15&amp;$B$14,data!$M$14:$M$24,0),2)*PORs!D5,0),0)</f>
        <v>0</v>
      </c>
      <c r="O15" s="51">
        <f>IFERROR(IF(PORs!E5&gt;0,INDEX(data!$K$14:$M$24,MATCH($B15&amp;$B$14,data!$M$14:$M$24,0),2)*PORs!E5,0),0)</f>
        <v>0</v>
      </c>
      <c r="P15" s="51">
        <f>IFERROR(IF(PORs!F5&gt;0,INDEX(data!$K$14:$M$24,MATCH($B15&amp;$B$14,data!$M$14:$M$24,0),2)*PORs!F5,0),0)</f>
        <v>0</v>
      </c>
      <c r="Q15" s="51">
        <f>IFERROR(IF(PORs!G5&gt;0,INDEX(data!$K$14:$M$24,MATCH($B15&amp;$B$14,data!$M$14:$M$24,0),2)*PORs!G5,0),0)</f>
        <v>0</v>
      </c>
      <c r="R15" s="51">
        <f>IFERROR(IF(PORs!H5&gt;0,INDEX(data!$K$14:$M$24,MATCH($B15&amp;$B$14,data!$M$14:$M$24,0),2)*PORs!H5,0),0)</f>
        <v>0</v>
      </c>
      <c r="S15" s="51">
        <f>IFERROR(IF(PORs!I5&gt;0,INDEX(data!$K$14:$M$24,MATCH($B15&amp;$B$14,data!$M$14:$M$24,0),2)*PORs!I5,0),0)</f>
        <v>0</v>
      </c>
      <c r="T15" s="51">
        <f>IFERROR(IF(PORs!J5&gt;0,INDEX(data!$K$14:$M$24,MATCH($B15&amp;$B$14,data!$M$14:$M$24,0),2)*PORs!J5,0),0)</f>
        <v>0</v>
      </c>
      <c r="X15" s="121" t="s">
        <v>26</v>
      </c>
      <c r="Y15" s="51">
        <v>10</v>
      </c>
      <c r="Z15" s="51">
        <v>1</v>
      </c>
      <c r="AA15" s="51">
        <v>10</v>
      </c>
      <c r="AB15" s="51">
        <f>data!L21*'MRP D'!D10</f>
        <v>985.5</v>
      </c>
      <c r="AC15" s="51">
        <f t="shared" si="10"/>
        <v>995.5</v>
      </c>
    </row>
    <row r="16" spans="2:32" x14ac:dyDescent="0.2">
      <c r="B16" s="51" t="s">
        <v>22</v>
      </c>
      <c r="C16" s="51">
        <f>IFERROR(IF(PORs!C6&gt;0,INDEX(data!$K$14:$M$24,MATCH($B16&amp;$B$14,data!$M$14:$M$24,0),1),0),0)</f>
        <v>0</v>
      </c>
      <c r="D16" s="51">
        <f>IFERROR(IF(PORs!D6&gt;0,INDEX(data!$K$14:$M$24,MATCH($B16&amp;$B$14,data!$M$14:$M$24,0),1),0),0)</f>
        <v>0</v>
      </c>
      <c r="E16" s="51">
        <f>IFERROR(IF(PORs!E6&gt;0,INDEX(data!$K$14:$M$24,MATCH($B16&amp;$B$14,data!$M$14:$M$24,0),1),0),0)</f>
        <v>0</v>
      </c>
      <c r="F16" s="51">
        <f>IFERROR(IF(PORs!F6&gt;0,INDEX(data!$K$14:$M$24,MATCH($B16&amp;$B$14,data!$M$14:$M$24,0),1),0),0)</f>
        <v>0</v>
      </c>
      <c r="G16" s="51">
        <f>IFERROR(IF(PORs!G6&gt;0,INDEX(data!$K$14:$M$24,MATCH($B16&amp;$B$14,data!$M$14:$M$24,0),1),0),0)</f>
        <v>0</v>
      </c>
      <c r="H16" s="51">
        <f>IFERROR(IF(PORs!H6&gt;0,INDEX(data!$K$14:$M$24,MATCH($B16&amp;$B$14,data!$M$14:$M$24,0),1),0),0)</f>
        <v>0</v>
      </c>
      <c r="I16" s="51">
        <f>IFERROR(IF(PORs!I6&gt;0,INDEX(data!$K$14:$M$24,MATCH($B16&amp;$B$14,data!$M$14:$M$24,0),1),0),0)</f>
        <v>0</v>
      </c>
      <c r="J16" s="51">
        <f>IFERROR(IF(PORs!J6&gt;0,INDEX(data!$K$14:$M$24,MATCH($B16&amp;$B$14,data!$M$14:$M$24,0),1),0),0)</f>
        <v>0</v>
      </c>
      <c r="L16" s="51" t="s">
        <v>22</v>
      </c>
      <c r="M16" s="51">
        <f>IFERROR(IF(PORs!C6&gt;0,INDEX(data!$K$14:$M$24,MATCH($B16&amp;$B$14,data!$M$14:$M$24,0),2)*PORs!C6,0),0)</f>
        <v>0</v>
      </c>
      <c r="N16" s="51">
        <f>IFERROR(IF(PORs!D6&gt;0,INDEX(data!$K$14:$M$24,MATCH($B16&amp;$B$14,data!$M$14:$M$24,0),2)*PORs!D6,0),0)</f>
        <v>0</v>
      </c>
      <c r="O16" s="51">
        <f>IFERROR(IF(PORs!E6&gt;0,INDEX(data!$K$14:$M$24,MATCH($B16&amp;$B$14,data!$M$14:$M$24,0),2)*PORs!E6,0),0)</f>
        <v>0</v>
      </c>
      <c r="P16" s="51">
        <f>IFERROR(IF(PORs!F6&gt;0,INDEX(data!$K$14:$M$24,MATCH($B16&amp;$B$14,data!$M$14:$M$24,0),2)*PORs!F6,0),0)</f>
        <v>0</v>
      </c>
      <c r="Q16" s="51">
        <f>IFERROR(IF(PORs!G6&gt;0,INDEX(data!$K$14:$M$24,MATCH($B16&amp;$B$14,data!$M$14:$M$24,0),2)*PORs!G6,0),0)</f>
        <v>0</v>
      </c>
      <c r="R16" s="51">
        <f>IFERROR(IF(PORs!H6&gt;0,INDEX(data!$K$14:$M$24,MATCH($B16&amp;$B$14,data!$M$14:$M$24,0),2)*PORs!H6,0),0)</f>
        <v>0</v>
      </c>
      <c r="S16" s="51">
        <f>IFERROR(IF(PORs!I6&gt;0,INDEX(data!$K$14:$M$24,MATCH($B16&amp;$B$14,data!$M$14:$M$24,0),2)*PORs!I6,0),0)</f>
        <v>0</v>
      </c>
      <c r="T16" s="51">
        <f>IFERROR(IF(PORs!J6&gt;0,INDEX(data!$K$14:$M$24,MATCH($B16&amp;$B$14,data!$M$14:$M$24,0),2)*PORs!J6,0),0)</f>
        <v>0</v>
      </c>
      <c r="X16" s="122"/>
      <c r="Y16" s="51">
        <v>9</v>
      </c>
      <c r="Z16" s="51">
        <v>2</v>
      </c>
      <c r="AA16" s="51">
        <v>12</v>
      </c>
      <c r="AB16" s="51">
        <f>data!L22*'MRP D'!E10</f>
        <v>1430</v>
      </c>
      <c r="AC16" s="51">
        <f t="shared" si="10"/>
        <v>1442</v>
      </c>
    </row>
    <row r="17" spans="2:32" x14ac:dyDescent="0.2">
      <c r="B17" s="51" t="s">
        <v>23</v>
      </c>
      <c r="C17" s="51">
        <f>IFERROR(IF(PORs!C7&gt;0,INDEX(data!$K$14:$M$24,MATCH($B17&amp;$B$14,data!$M$14:$M$24,0),1),0),0)</f>
        <v>9</v>
      </c>
      <c r="D17" s="51">
        <f>IFERROR(IF(PORs!D7&gt;0,INDEX(data!$K$14:$M$24,MATCH($B17&amp;$B$14,data!$M$14:$M$24,0),1),0),0)</f>
        <v>9</v>
      </c>
      <c r="E17" s="51">
        <f>IFERROR(IF(PORs!E7&gt;0,INDEX(data!$K$14:$M$24,MATCH($B17&amp;$B$14,data!$M$14:$M$24,0),1),0),0)</f>
        <v>9</v>
      </c>
      <c r="F17" s="51">
        <f>IFERROR(IF(PORs!F7&gt;0,INDEX(data!$K$14:$M$24,MATCH($B17&amp;$B$14,data!$M$14:$M$24,0),1),0),0)</f>
        <v>9</v>
      </c>
      <c r="G17" s="51">
        <f>IFERROR(IF(PORs!G7&gt;0,INDEX(data!$K$14:$M$24,MATCH($B17&amp;$B$14,data!$M$14:$M$24,0),1),0),0)</f>
        <v>0</v>
      </c>
      <c r="H17" s="51">
        <f>IFERROR(IF(PORs!H7&gt;0,INDEX(data!$K$14:$M$24,MATCH($B17&amp;$B$14,data!$M$14:$M$24,0),1),0),0)</f>
        <v>0</v>
      </c>
      <c r="I17" s="51">
        <f>IFERROR(IF(PORs!I7&gt;0,INDEX(data!$K$14:$M$24,MATCH($B17&amp;$B$14,data!$M$14:$M$24,0),1),0),0)</f>
        <v>0</v>
      </c>
      <c r="J17" s="51">
        <f>IFERROR(IF(PORs!J7&gt;0,INDEX(data!$K$14:$M$24,MATCH($B17&amp;$B$14,data!$M$14:$M$24,0),1),0),0)</f>
        <v>0</v>
      </c>
      <c r="L17" s="51" t="s">
        <v>23</v>
      </c>
      <c r="M17" s="51">
        <f>IFERROR(IF(PORs!C7&gt;0,INDEX(data!$K$14:$M$24,MATCH($B17&amp;$B$14,data!$M$14:$M$24,0),2)*PORs!C7,0),0)</f>
        <v>756.75</v>
      </c>
      <c r="N17" s="51">
        <f>IFERROR(IF(PORs!D7&gt;0,INDEX(data!$K$14:$M$24,MATCH($B17&amp;$B$14,data!$M$14:$M$24,0),2)*PORs!D7,0),0)</f>
        <v>835.5</v>
      </c>
      <c r="O17" s="51">
        <f>IFERROR(IF(PORs!E7&gt;0,INDEX(data!$K$14:$M$24,MATCH($B17&amp;$B$14,data!$M$14:$M$24,0),2)*PORs!E7,0),0)</f>
        <v>585.75</v>
      </c>
      <c r="P17" s="51">
        <f>IFERROR(IF(PORs!F7&gt;0,INDEX(data!$K$14:$M$24,MATCH($B17&amp;$B$14,data!$M$14:$M$24,0),2)*PORs!F7,0),0)</f>
        <v>403.5</v>
      </c>
      <c r="Q17" s="51">
        <f>IFERROR(IF(PORs!G7&gt;0,INDEX(data!$K$14:$M$24,MATCH($B17&amp;$B$14,data!$M$14:$M$24,0),2)*PORs!G7,0),0)</f>
        <v>0</v>
      </c>
      <c r="R17" s="51">
        <f>IFERROR(IF(PORs!H7&gt;0,INDEX(data!$K$14:$M$24,MATCH($B17&amp;$B$14,data!$M$14:$M$24,0),2)*PORs!H7,0),0)</f>
        <v>0</v>
      </c>
      <c r="S17" s="51">
        <f>IFERROR(IF(PORs!I7&gt;0,INDEX(data!$K$14:$M$24,MATCH($B17&amp;$B$14,data!$M$14:$M$24,0),2)*PORs!I7,0),0)</f>
        <v>0</v>
      </c>
      <c r="T17" s="51">
        <f>IFERROR(IF(PORs!J7&gt;0,INDEX(data!$K$14:$M$24,MATCH($B17&amp;$B$14,data!$M$14:$M$24,0),2)*PORs!J7,0),0)</f>
        <v>0</v>
      </c>
    </row>
    <row r="18" spans="2:32" x14ac:dyDescent="0.2">
      <c r="B18" s="55" t="s">
        <v>24</v>
      </c>
      <c r="C18" s="51">
        <f>IFERROR(IF(PORs!C8&gt;0,INDEX(data!$K$14:$M$24,MATCH($B18&amp;$B$14,data!$M$14:$M$24,0),1),0),0)</f>
        <v>10</v>
      </c>
      <c r="D18" s="51">
        <f>IFERROR(IF(PORs!D8&gt;0,INDEX(data!$K$14:$M$24,MATCH($B18&amp;$B$14,data!$M$14:$M$24,0),1),0),0)</f>
        <v>10</v>
      </c>
      <c r="E18" s="51">
        <f>IFERROR(IF(PORs!E8&gt;0,INDEX(data!$K$14:$M$24,MATCH($B18&amp;$B$14,data!$M$14:$M$24,0),1),0),0)</f>
        <v>10</v>
      </c>
      <c r="F18" s="51">
        <f>IFERROR(IF(PORs!F8&gt;0,INDEX(data!$K$14:$M$24,MATCH($B18&amp;$B$14,data!$M$14:$M$24,0),1),0),0)</f>
        <v>10</v>
      </c>
      <c r="G18" s="51">
        <f>IFERROR(IF(PORs!G8&gt;0,INDEX(data!$K$14:$M$24,MATCH($B18&amp;$B$14,data!$M$14:$M$24,0),1),0),0)</f>
        <v>10</v>
      </c>
      <c r="H18" s="51">
        <f>IFERROR(IF(PORs!H8&gt;0,INDEX(data!$K$14:$M$24,MATCH($B18&amp;$B$14,data!$M$14:$M$24,0),1),0),0)</f>
        <v>0</v>
      </c>
      <c r="I18" s="51">
        <f>IFERROR(IF(PORs!I8&gt;0,INDEX(data!$K$14:$M$24,MATCH($B18&amp;$B$14,data!$M$14:$M$24,0),1),0),0)</f>
        <v>0</v>
      </c>
      <c r="J18" s="51">
        <f>IFERROR(IF(PORs!J8&gt;0,INDEX(data!$K$14:$M$24,MATCH($B18&amp;$B$14,data!$M$14:$M$24,0),1),0),0)</f>
        <v>0</v>
      </c>
      <c r="L18" s="55" t="s">
        <v>24</v>
      </c>
      <c r="M18" s="51">
        <f>IFERROR(IF(PORs!C8&gt;0,INDEX(data!$K$14:$M$24,MATCH($B18&amp;$B$14,data!$M$14:$M$24,0),2)*PORs!C8,0),0)</f>
        <v>640.80000000000007</v>
      </c>
      <c r="N18" s="51">
        <f>IFERROR(IF(PORs!D8&gt;0,INDEX(data!$K$14:$M$24,MATCH($B18&amp;$B$14,data!$M$14:$M$24,0),2)*PORs!D8,0),0)</f>
        <v>908.1</v>
      </c>
      <c r="O18" s="51">
        <f>IFERROR(IF(PORs!E8&gt;0,INDEX(data!$K$14:$M$24,MATCH($B18&amp;$B$14,data!$M$14:$M$24,0),2)*PORs!E8,0),0)</f>
        <v>1002.6</v>
      </c>
      <c r="P18" s="51">
        <f>IFERROR(IF(PORs!F8&gt;0,INDEX(data!$K$14:$M$24,MATCH($B18&amp;$B$14,data!$M$14:$M$24,0),2)*PORs!F8,0),0)</f>
        <v>702.9</v>
      </c>
      <c r="Q18" s="51">
        <f>IFERROR(IF(PORs!G8&gt;0,INDEX(data!$K$14:$M$24,MATCH($B18&amp;$B$14,data!$M$14:$M$24,0),2)*PORs!G8,0),0)</f>
        <v>484.2</v>
      </c>
      <c r="R18" s="51">
        <f>IFERROR(IF(PORs!H8&gt;0,INDEX(data!$K$14:$M$24,MATCH($B18&amp;$B$14,data!$M$14:$M$24,0),2)*PORs!H8,0),0)</f>
        <v>0</v>
      </c>
      <c r="S18" s="51">
        <f>IFERROR(IF(PORs!I8&gt;0,INDEX(data!$K$14:$M$24,MATCH($B18&amp;$B$14,data!$M$14:$M$24,0),2)*PORs!I8,0),0)</f>
        <v>0</v>
      </c>
      <c r="T18" s="51">
        <f>IFERROR(IF(PORs!J8&gt;0,INDEX(data!$K$14:$M$24,MATCH($B18&amp;$B$14,data!$M$14:$M$24,0),2)*PORs!J8,0),0)</f>
        <v>0</v>
      </c>
      <c r="X18" s="51" t="s">
        <v>68</v>
      </c>
      <c r="Y18" s="51">
        <v>9</v>
      </c>
      <c r="Z18" s="51">
        <v>10</v>
      </c>
    </row>
    <row r="19" spans="2:32" ht="15" x14ac:dyDescent="0.2">
      <c r="B19" s="55" t="s">
        <v>25</v>
      </c>
      <c r="C19" s="51">
        <f>IFERROR(IF(PORs!C9&gt;0,INDEX(data!$K$14:$M$24,MATCH($B19&amp;$B$14,data!$M$14:$M$24,0),1),0),0)</f>
        <v>10</v>
      </c>
      <c r="D19" s="51">
        <f>IFERROR(IF(PORs!D9&gt;0,INDEX(data!$K$14:$M$24,MATCH($B19&amp;$B$14,data!$M$14:$M$24,0),1),0),0)</f>
        <v>10</v>
      </c>
      <c r="E19" s="51">
        <f>IFERROR(IF(PORs!E9&gt;0,INDEX(data!$K$14:$M$24,MATCH($B19&amp;$B$14,data!$M$14:$M$24,0),1),0),0)</f>
        <v>10</v>
      </c>
      <c r="F19" s="51">
        <f>IFERROR(IF(PORs!F9&gt;0,INDEX(data!$K$14:$M$24,MATCH($B19&amp;$B$14,data!$M$14:$M$24,0),1),0),0)</f>
        <v>10</v>
      </c>
      <c r="G19" s="51">
        <f>IFERROR(IF(PORs!G9&gt;0,INDEX(data!$K$14:$M$24,MATCH($B19&amp;$B$14,data!$M$14:$M$24,0),1),0),0)</f>
        <v>0</v>
      </c>
      <c r="H19" s="51">
        <f>IFERROR(IF(PORs!H9&gt;0,INDEX(data!$K$14:$M$24,MATCH($B19&amp;$B$14,data!$M$14:$M$24,0),1),0),0)</f>
        <v>0</v>
      </c>
      <c r="I19" s="51">
        <f>IFERROR(IF(PORs!I9&gt;0,INDEX(data!$K$14:$M$24,MATCH($B19&amp;$B$14,data!$M$14:$M$24,0),1),0),0)</f>
        <v>0</v>
      </c>
      <c r="J19" s="51">
        <f>IFERROR(IF(PORs!J9&gt;0,INDEX(data!$K$14:$M$24,MATCH($B19&amp;$B$14,data!$M$14:$M$24,0),1),0),0)</f>
        <v>0</v>
      </c>
      <c r="L19" s="55" t="s">
        <v>25</v>
      </c>
      <c r="M19" s="51">
        <f>IFERROR(IF(PORs!C9&gt;0,INDEX(data!$K$14:$M$24,MATCH($B19&amp;$B$14,data!$M$14:$M$24,0),2)*PORs!C9,0),0)</f>
        <v>2018</v>
      </c>
      <c r="N19" s="51">
        <f>IFERROR(IF(PORs!D9&gt;0,INDEX(data!$K$14:$M$24,MATCH($B19&amp;$B$14,data!$M$14:$M$24,0),2)*PORs!D9,0),0)</f>
        <v>2228</v>
      </c>
      <c r="O19" s="51">
        <f>IFERROR(IF(PORs!E9&gt;0,INDEX(data!$K$14:$M$24,MATCH($B19&amp;$B$14,data!$M$14:$M$24,0),2)*PORs!E9,0),0)</f>
        <v>1562</v>
      </c>
      <c r="P19" s="51">
        <f>IFERROR(IF(PORs!F9&gt;0,INDEX(data!$K$14:$M$24,MATCH($B19&amp;$B$14,data!$M$14:$M$24,0),2)*PORs!F9,0),0)</f>
        <v>1076</v>
      </c>
      <c r="Q19" s="51">
        <f>IFERROR(IF(PORs!G9&gt;0,INDEX(data!$K$14:$M$24,MATCH($B19&amp;$B$14,data!$M$14:$M$24,0),2)*PORs!G9,0),0)</f>
        <v>0</v>
      </c>
      <c r="R19" s="51">
        <f>IFERROR(IF(PORs!H9&gt;0,INDEX(data!$K$14:$M$24,MATCH($B19&amp;$B$14,data!$M$14:$M$24,0),2)*PORs!H9,0),0)</f>
        <v>0</v>
      </c>
      <c r="S19" s="51">
        <f>IFERROR(IF(PORs!I9&gt;0,INDEX(data!$K$14:$M$24,MATCH($B19&amp;$B$14,data!$M$14:$M$24,0),2)*PORs!I9,0),0)</f>
        <v>0</v>
      </c>
      <c r="T19" s="51">
        <f>IFERROR(IF(PORs!J9&gt;0,INDEX(data!$K$14:$M$24,MATCH($B19&amp;$B$14,data!$M$14:$M$24,0),2)*PORs!J9,0),0)</f>
        <v>0</v>
      </c>
      <c r="X19" s="52">
        <v>1</v>
      </c>
      <c r="Y19" s="51">
        <f>SUMIFS($AC$9:$AC$16,$Y$9:$Y$16,Y$18,$Z$9:$Z$16,$X19)</f>
        <v>1783.4</v>
      </c>
      <c r="Z19" s="51">
        <f>SUMIFS($AC$9:$AC$16,$Y$9:$Y$16,Z$18,$Z$9:$Z$16,$X19)</f>
        <v>1539.75</v>
      </c>
    </row>
    <row r="20" spans="2:32" ht="15" x14ac:dyDescent="0.2">
      <c r="B20" s="55" t="s">
        <v>26</v>
      </c>
      <c r="C20" s="51">
        <f>IFERROR(IF(PORs!C10&gt;0,INDEX(data!$K$14:$M$24,MATCH($B20&amp;$B$14,data!$M$14:$M$24,0),1),0),0)</f>
        <v>12</v>
      </c>
      <c r="D20" s="51">
        <f>IFERROR(IF(PORs!D10&gt;0,INDEX(data!$K$14:$M$24,MATCH($B20&amp;$B$14,data!$M$14:$M$24,0),1),0),0)+C10/10*12</f>
        <v>24</v>
      </c>
      <c r="E20" s="51">
        <f>IFERROR(IF(PORs!E10&gt;0,INDEX(data!$K$14:$M$24,MATCH($B20&amp;$B$14,data!$M$14:$M$24,0),1),0),0)+D10/10*12</f>
        <v>24</v>
      </c>
      <c r="F20" s="51">
        <f>IFERROR(IF(PORs!F10&gt;0,INDEX(data!$K$14:$M$24,MATCH($B20&amp;$B$14,data!$M$14:$M$24,0),1),0),0)+E10/10*12</f>
        <v>24</v>
      </c>
      <c r="G20" s="51">
        <f>IFERROR(IF(PORs!G10&gt;0,INDEX(data!$K$14:$M$24,MATCH($B20&amp;$B$14,data!$M$14:$M$24,0),1),0),0)+F10/10*12</f>
        <v>24</v>
      </c>
      <c r="H20" s="51">
        <f>IFERROR(IF(PORs!H10&gt;0,INDEX(data!$K$14:$M$24,MATCH($B20&amp;$B$14,data!$M$14:$M$24,0),1),0),0)+G10/10*12</f>
        <v>12</v>
      </c>
      <c r="I20" s="51">
        <f>IFERROR(IF(PORs!I10&gt;0,INDEX(data!$K$14:$M$24,MATCH($B20&amp;$B$14,data!$M$14:$M$24,0),1),0),0)+H10/10*12</f>
        <v>0</v>
      </c>
      <c r="J20" s="51">
        <f>IFERROR(IF(PORs!J10&gt;0,INDEX(data!$K$14:$M$24,MATCH($B20&amp;$B$14,data!$M$14:$M$24,0),1),0),0)+I10/10*12</f>
        <v>0</v>
      </c>
      <c r="L20" s="55" t="s">
        <v>26</v>
      </c>
      <c r="M20" s="51">
        <f>IFERROR(IF(PORs!C10&gt;0,INDEX(data!$K$14:$M$24,MATCH($B20&amp;$B$14,data!$M$14:$M$24,0),2)*PORs!C10,0),0)</f>
        <v>1424</v>
      </c>
      <c r="N20" s="51">
        <f>IFERROR(IF(PORs!D10&gt;0,INDEX(data!$K$14:$M$24,MATCH($B20&amp;$B$14,data!$M$14:$M$24,0),2)*PORs!D10,0),0)</f>
        <v>2018</v>
      </c>
      <c r="O20" s="51">
        <f>IFERROR(IF(PORs!E10&gt;0,INDEX(data!$K$14:$M$24,MATCH($B20&amp;$B$14,data!$M$14:$M$24,0),2)*PORs!E10,0),0)</f>
        <v>2228</v>
      </c>
      <c r="P20" s="51">
        <f>IFERROR(IF(PORs!F10&gt;0,INDEX(data!$K$14:$M$24,MATCH($B20&amp;$B$14,data!$M$14:$M$24,0),2)*PORs!F10,0),0)</f>
        <v>1562</v>
      </c>
      <c r="Q20" s="51">
        <f>IFERROR(IF(PORs!G10&gt;0,INDEX(data!$K$14:$M$24,MATCH($B20&amp;$B$14,data!$M$14:$M$24,0),2)*PORs!G10,0),0)</f>
        <v>1076</v>
      </c>
      <c r="R20" s="51">
        <f>IFERROR(IF(PORs!H10&gt;0,INDEX(data!$K$14:$M$24,MATCH($B20&amp;$B$14,data!$M$14:$M$24,0),2)*PORs!H10,0),0)</f>
        <v>0</v>
      </c>
      <c r="S20" s="51">
        <f>IFERROR(IF(PORs!I10&gt;0,INDEX(data!$K$14:$M$24,MATCH($B20&amp;$B$14,data!$M$14:$M$24,0),2)*PORs!I10,0),0)</f>
        <v>0</v>
      </c>
      <c r="T20" s="51">
        <f>IFERROR(IF(PORs!J10&gt;0,INDEX(data!$K$14:$M$24,MATCH($B20&amp;$B$14,data!$M$14:$M$24,0),2)*PORs!J10,0),0)</f>
        <v>0</v>
      </c>
      <c r="X20" s="56">
        <v>2</v>
      </c>
      <c r="Y20" s="51">
        <f>SUMIFS($AC$9:$AC$16,$Y$9:$Y$16,Y$18,$Z$9:$Z$16,$X20)</f>
        <v>3296.6000000000004</v>
      </c>
      <c r="Z20" s="51">
        <f>SUMIFS($AC$9:$AC$16,$Y$9:$Y$16,Z$18,$Z$9:$Z$16,$X20)</f>
        <v>0</v>
      </c>
    </row>
    <row r="21" spans="2:32" x14ac:dyDescent="0.2">
      <c r="B21" s="58"/>
    </row>
    <row r="23" spans="2:32" ht="18.75" x14ac:dyDescent="0.2">
      <c r="X23" s="125" t="s">
        <v>70</v>
      </c>
      <c r="Y23" s="126"/>
      <c r="Z23" s="126"/>
      <c r="AA23" s="126"/>
      <c r="AB23" s="126"/>
      <c r="AC23" s="126"/>
      <c r="AD23" s="126"/>
      <c r="AE23" s="126"/>
      <c r="AF23" s="126"/>
    </row>
    <row r="24" spans="2:32" x14ac:dyDescent="0.2">
      <c r="X24" s="51" t="s">
        <v>68</v>
      </c>
      <c r="Y24" s="51">
        <v>9</v>
      </c>
      <c r="Z24" s="51">
        <v>10</v>
      </c>
      <c r="AA24" s="51">
        <v>11</v>
      </c>
      <c r="AB24" s="51">
        <v>12</v>
      </c>
      <c r="AC24" s="51">
        <v>13</v>
      </c>
      <c r="AD24" s="51">
        <v>14</v>
      </c>
      <c r="AE24" s="51">
        <v>15</v>
      </c>
      <c r="AF24" s="51">
        <v>16</v>
      </c>
    </row>
    <row r="25" spans="2:32" ht="15" x14ac:dyDescent="0.2">
      <c r="X25" s="52">
        <v>1</v>
      </c>
      <c r="Y25" s="53">
        <f>Y4+Y19</f>
        <v>4333.3999999999996</v>
      </c>
      <c r="Z25" s="53">
        <f>Z4+Z19</f>
        <v>4748</v>
      </c>
      <c r="AA25" s="53">
        <f t="shared" ref="AA25:AF25" si="25">AA4+AA19</f>
        <v>3375.5</v>
      </c>
      <c r="AB25" s="53">
        <f t="shared" si="25"/>
        <v>2183.75</v>
      </c>
      <c r="AC25" s="53">
        <f t="shared" si="25"/>
        <v>1515.5</v>
      </c>
      <c r="AD25" s="53">
        <f t="shared" si="25"/>
        <v>8</v>
      </c>
      <c r="AE25" s="53">
        <f t="shared" si="25"/>
        <v>0</v>
      </c>
      <c r="AF25" s="53">
        <f t="shared" si="25"/>
        <v>0</v>
      </c>
    </row>
    <row r="26" spans="2:32" ht="15" x14ac:dyDescent="0.2">
      <c r="X26" s="56">
        <v>2</v>
      </c>
      <c r="Y26" s="53">
        <f>Y5+Y20</f>
        <v>8177.1500000000005</v>
      </c>
      <c r="Z26" s="53">
        <f>Z5+Z20</f>
        <v>6042.6</v>
      </c>
      <c r="AA26" s="53">
        <f t="shared" ref="AA26:AF26" si="26">AA5+AA20</f>
        <v>5431.35</v>
      </c>
      <c r="AB26" s="53">
        <f t="shared" si="26"/>
        <v>3797.4</v>
      </c>
      <c r="AC26" s="53">
        <f t="shared" si="26"/>
        <v>1594.2</v>
      </c>
      <c r="AD26" s="53">
        <f t="shared" si="26"/>
        <v>12</v>
      </c>
      <c r="AE26" s="53">
        <f t="shared" si="26"/>
        <v>0</v>
      </c>
      <c r="AF26" s="53">
        <f t="shared" si="26"/>
        <v>0</v>
      </c>
    </row>
  </sheetData>
  <sheetProtection algorithmName="SHA-512" hashValue="oN1ulLGnY0uZJd7X2QTRoIJ42S68CAGnjy3ux4qXQoMGg55Uf2hOzRz6/Z1Tokg8qBTYaqzOlcChcPVARD2gsg==" saltValue="PAmlv6luvqO/+w2rcsIEyQ==" spinCount="100000" sheet="1" objects="1" scenarios="1"/>
  <mergeCells count="9">
    <mergeCell ref="X15:X16"/>
    <mergeCell ref="X7:AC7"/>
    <mergeCell ref="X23:AF23"/>
    <mergeCell ref="B2:J2"/>
    <mergeCell ref="B12:J12"/>
    <mergeCell ref="L2:T2"/>
    <mergeCell ref="L12:T12"/>
    <mergeCell ref="X2:AF2"/>
    <mergeCell ref="X12:X13"/>
  </mergeCells>
  <conditionalFormatting sqref="A1:Z1 A2 K2:W2 A24:F40 A41:W50 P24:W40 X2:AF6 X7 AD7:AF7 X14:X15 X10:X12 Z13:AC16 Y10:Y16 X8:AF9 Z10:AF12 AB10:AC16 X17:Z48 X23:AF26 A3:W23">
    <cfRule type="containsBlanks" dxfId="23" priority="24">
      <formula>LEN(TRIM(A1))=0</formula>
    </cfRule>
  </conditionalFormatting>
  <conditionalFormatting sqref="B2">
    <cfRule type="containsBlanks" dxfId="22" priority="23">
      <formula>LEN(TRIM(B2))=0</formula>
    </cfRule>
  </conditionalFormatting>
  <conditionalFormatting sqref="A24:F40 A41:W1048576 P24:W40 A1:XFD6 A7:X7 AD7:XFD7 X14:X15 AD8:AF16 X10:X12 X9:XFD9 Y10:XFD16 X17:XFD1048576 A8:XFD8 A9:W23">
    <cfRule type="cellIs" dxfId="21" priority="22" operator="equal">
      <formula>0</formula>
    </cfRule>
  </conditionalFormatting>
  <conditionalFormatting sqref="X7">
    <cfRule type="containsBlanks" dxfId="20" priority="8">
      <formula>LEN(TRIM(X7))=0</formula>
    </cfRule>
  </conditionalFormatting>
  <conditionalFormatting sqref="B13">
    <cfRule type="containsBlanks" dxfId="19" priority="21">
      <formula>LEN(TRIM(B13))=0</formula>
    </cfRule>
  </conditionalFormatting>
  <conditionalFormatting sqref="B13">
    <cfRule type="containsBlanks" dxfId="18" priority="20">
      <formula>LEN(TRIM(B13))=0</formula>
    </cfRule>
  </conditionalFormatting>
  <conditionalFormatting sqref="B12">
    <cfRule type="containsBlanks" dxfId="17" priority="19">
      <formula>LEN(TRIM(B12))=0</formula>
    </cfRule>
  </conditionalFormatting>
  <conditionalFormatting sqref="B12">
    <cfRule type="containsBlanks" dxfId="16" priority="18">
      <formula>LEN(TRIM(B12))=0</formula>
    </cfRule>
  </conditionalFormatting>
  <conditionalFormatting sqref="L2">
    <cfRule type="containsBlanks" dxfId="15" priority="17">
      <formula>LEN(TRIM(L2))=0</formula>
    </cfRule>
  </conditionalFormatting>
  <conditionalFormatting sqref="L13">
    <cfRule type="containsBlanks" dxfId="14" priority="16">
      <formula>LEN(TRIM(L13))=0</formula>
    </cfRule>
  </conditionalFormatting>
  <conditionalFormatting sqref="L13">
    <cfRule type="containsBlanks" dxfId="13" priority="15">
      <formula>LEN(TRIM(L13))=0</formula>
    </cfRule>
  </conditionalFormatting>
  <conditionalFormatting sqref="L12">
    <cfRule type="containsBlanks" dxfId="12" priority="14">
      <formula>LEN(TRIM(L12))=0</formula>
    </cfRule>
  </conditionalFormatting>
  <conditionalFormatting sqref="L12">
    <cfRule type="containsBlanks" dxfId="11" priority="13">
      <formula>LEN(TRIM(L12))=0</formula>
    </cfRule>
  </conditionalFormatting>
  <conditionalFormatting sqref="B12">
    <cfRule type="containsBlanks" dxfId="10" priority="12">
      <formula>LEN(TRIM(B12))=0</formula>
    </cfRule>
  </conditionalFormatting>
  <conditionalFormatting sqref="L2">
    <cfRule type="containsBlanks" dxfId="9" priority="11">
      <formula>LEN(TRIM(L2))=0</formula>
    </cfRule>
  </conditionalFormatting>
  <conditionalFormatting sqref="L12">
    <cfRule type="containsBlanks" dxfId="8" priority="10">
      <formula>LEN(TRIM(L12))=0</formula>
    </cfRule>
  </conditionalFormatting>
  <conditionalFormatting sqref="X2">
    <cfRule type="containsBlanks" dxfId="7" priority="9">
      <formula>LEN(TRIM(X2))=0</formula>
    </cfRule>
  </conditionalFormatting>
  <conditionalFormatting sqref="G24:O40">
    <cfRule type="containsBlanks" dxfId="6" priority="7">
      <formula>LEN(TRIM(G24))=0</formula>
    </cfRule>
  </conditionalFormatting>
  <conditionalFormatting sqref="G24:O40">
    <cfRule type="cellIs" dxfId="5" priority="6" operator="equal">
      <formula>0</formula>
    </cfRule>
  </conditionalFormatting>
  <conditionalFormatting sqref="Z9:Z16">
    <cfRule type="cellIs" dxfId="4" priority="4" operator="equal">
      <formula>2</formula>
    </cfRule>
    <cfRule type="cellIs" dxfId="3" priority="5" operator="equal">
      <formula>1</formula>
    </cfRule>
  </conditionalFormatting>
  <conditionalFormatting sqref="X23">
    <cfRule type="containsBlanks" dxfId="2" priority="3">
      <formula>LEN(TRIM(X23))=0</formula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099F5A43-89BC-47FE-9D46-EB8C9C68650A}">
            <xm:f>data!$N$7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Y26:AD26</xm:sqref>
        </x14:conditionalFormatting>
        <x14:conditionalFormatting xmlns:xm="http://schemas.microsoft.com/office/excel/2006/main">
          <x14:cfRule type="cellIs" priority="1" operator="greaterThan" id="{6FBD63D6-1EF5-4D96-8D7A-EA73A05B249B}">
            <xm:f>data!$N$6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Y25:AD25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Home</vt:lpstr>
      <vt:lpstr>data</vt:lpstr>
      <vt:lpstr>Vulcan10</vt:lpstr>
      <vt:lpstr>MRP A</vt:lpstr>
      <vt:lpstr>MRP A1</vt:lpstr>
      <vt:lpstr>MRP A2</vt:lpstr>
      <vt:lpstr>MRP B</vt:lpstr>
      <vt:lpstr>MRP C</vt:lpstr>
      <vt:lpstr>MRP D</vt:lpstr>
      <vt:lpstr>PORs</vt:lpstr>
      <vt:lpstr>CRP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Ali Jooyafar</cp:lastModifiedBy>
  <dcterms:created xsi:type="dcterms:W3CDTF">2021-06-11T09:10:13Z</dcterms:created>
  <dcterms:modified xsi:type="dcterms:W3CDTF">2022-06-21T09:46:10Z</dcterms:modified>
</cp:coreProperties>
</file>