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D:\Ali\DOC\UNI\Yazduni_992\PP\3992\"/>
    </mc:Choice>
  </mc:AlternateContent>
  <xr:revisionPtr revIDLastSave="0" documentId="13_ncr:1_{9426676A-A007-4622-9056-2A0FC66D801A}" xr6:coauthVersionLast="47" xr6:coauthVersionMax="47" xr10:uidLastSave="{00000000-0000-0000-0000-000000000000}"/>
  <bookViews>
    <workbookView xWindow="-120" yWindow="330" windowWidth="24240" windowHeight="13290" tabRatio="698" activeTab="7" xr2:uid="{17E9EBEA-DE1A-4964-ADAC-1FAF3E0C846A}"/>
  </bookViews>
  <sheets>
    <sheet name="HOME" sheetId="2" r:id="rId1"/>
    <sheet name="DATA" sheetId="1" r:id="rId2"/>
    <sheet name="DATA 2" sheetId="4" r:id="rId3"/>
    <sheet name="MPS incubment" sheetId="8" r:id="rId4"/>
    <sheet name="MPS minCO" sheetId="10" r:id="rId5"/>
    <sheet name="MPS minPOH" sheetId="9" r:id="rId6"/>
    <sheet name="MPS with_Slover" sheetId="7" r:id="rId7"/>
    <sheet name="Result" sheetId="11" r:id="rId8"/>
  </sheets>
  <externalReferences>
    <externalReference r:id="rId9"/>
  </externalReferences>
  <definedNames>
    <definedName name="first" localSheetId="3">'MPS incubment'!$F$4,'MPS incubment'!$F$7,'MPS incubment'!$F$10</definedName>
    <definedName name="first" localSheetId="4">'MPS minCO'!$F$4,'MPS minCO'!$F$7,'MPS minCO'!$F$10</definedName>
    <definedName name="first" localSheetId="5">'MPS minPOH'!$F$4,'MPS minPOH'!$F$7,'MPS minPOH'!$F$10</definedName>
    <definedName name="first" localSheetId="6">'MPS with_Slover'!$F$4,'MPS with_Slover'!$F$7,'MPS with_Slover'!$F$10</definedName>
    <definedName name="first">#REF!,#REF!,#REF!</definedName>
    <definedName name="fourth" localSheetId="3">'MPS incubment'!$I$4,'MPS incubment'!$I$7,'MPS incubment'!$I$10</definedName>
    <definedName name="fourth" localSheetId="4">'MPS minCO'!$I$4,'MPS minCO'!$I$7,'MPS minCO'!$I$10</definedName>
    <definedName name="fourth" localSheetId="5">'MPS minPOH'!$I$4,'MPS minPOH'!$I$7,'MPS minPOH'!$I$10</definedName>
    <definedName name="fourth" localSheetId="6">'MPS with_Slover'!$I$4,'MPS with_Slover'!$I$7,'MPS with_Slover'!$I$10</definedName>
    <definedName name="fourth">#REF!,#REF!,#REF!</definedName>
    <definedName name="second" localSheetId="3">'MPS incubment'!$G$4,'MPS incubment'!$G$7,'MPS incubment'!$G$10</definedName>
    <definedName name="second" localSheetId="4">'MPS minCO'!$G$4,'MPS minCO'!$G$7,'MPS minCO'!$G$10</definedName>
    <definedName name="second" localSheetId="5">'MPS minPOH'!$G$4,'MPS minPOH'!$G$7,'MPS minPOH'!$G$10</definedName>
    <definedName name="second" localSheetId="6">'MPS with_Slover'!$G$4,'MPS with_Slover'!$G$7,'MPS with_Slover'!$G$10</definedName>
    <definedName name="second">#REF!,#REF!,#REF!</definedName>
    <definedName name="solver_adj" localSheetId="3" hidden="1">'MPS incubment'!$F$4:$I$4,'MPS incubment'!$F$7:$I$7,'MPS incubment'!$F$10:$I$10</definedName>
    <definedName name="solver_adj" localSheetId="4" hidden="1">'MPS minCO'!$F$4:$I$4,'MPS minCO'!$F$7:$I$7,'MPS minCO'!$F$10:$I$10</definedName>
    <definedName name="solver_adj" localSheetId="5" hidden="1">'MPS minPOH'!$F$4:$I$4,'MPS minPOH'!$F$7:$I$7,'MPS minPOH'!$F$10:$I$10</definedName>
    <definedName name="solver_adj" localSheetId="6" hidden="1">'MPS with_Slover'!$F$4:$I$4,'MPS with_Slover'!$F$7:$I$7,'MPS with_Slover'!$F$10:$I$10</definedName>
    <definedName name="solver_cvg" localSheetId="3" hidden="1">0.0001</definedName>
    <definedName name="solver_cvg" localSheetId="4" hidden="1">0.0001</definedName>
    <definedName name="solver_cvg" localSheetId="5" hidden="1">0.0001</definedName>
    <definedName name="solver_cvg" localSheetId="6" hidden="1">0.0001</definedName>
    <definedName name="solver_drv" localSheetId="3" hidden="1">1</definedName>
    <definedName name="solver_drv" localSheetId="4" hidden="1">1</definedName>
    <definedName name="solver_drv" localSheetId="5" hidden="1">1</definedName>
    <definedName name="solver_drv" localSheetId="6" hidden="1">1</definedName>
    <definedName name="solver_eng" localSheetId="3" hidden="1">1</definedName>
    <definedName name="solver_eng" localSheetId="4" hidden="1">1</definedName>
    <definedName name="solver_eng" localSheetId="5" hidden="1">1</definedName>
    <definedName name="solver_eng" localSheetId="6" hidden="1">1</definedName>
    <definedName name="solver_est" localSheetId="3" hidden="1">1</definedName>
    <definedName name="solver_est" localSheetId="4" hidden="1">1</definedName>
    <definedName name="solver_est" localSheetId="5" hidden="1">1</definedName>
    <definedName name="solver_est" localSheetId="6" hidden="1">1</definedName>
    <definedName name="solver_itr" localSheetId="3" hidden="1">2147483647</definedName>
    <definedName name="solver_itr" localSheetId="4" hidden="1">2147483647</definedName>
    <definedName name="solver_itr" localSheetId="5" hidden="1">2147483647</definedName>
    <definedName name="solver_itr" localSheetId="6" hidden="1">2147483647</definedName>
    <definedName name="solver_lhs1" localSheetId="3" hidden="1">'MPS incubment'!$F$10:$I$10</definedName>
    <definedName name="solver_lhs1" localSheetId="4" hidden="1">'MPS minCO'!$F$10:$I$10</definedName>
    <definedName name="solver_lhs1" localSheetId="5" hidden="1">'MPS minPOH'!$F$10:$I$10</definedName>
    <definedName name="solver_lhs1" localSheetId="6" hidden="1">'MPS with_Slover'!$F$10:$I$10</definedName>
    <definedName name="solver_lhs10" localSheetId="3" hidden="1">'MPS incubment'!$F$7:$I$7</definedName>
    <definedName name="solver_lhs10" localSheetId="4" hidden="1">'MPS minCO'!$F$7:$I$7</definedName>
    <definedName name="solver_lhs10" localSheetId="5" hidden="1">'MPS minPOH'!$F$7:$I$7</definedName>
    <definedName name="solver_lhs10" localSheetId="6" hidden="1">'MPS with_Slover'!$F$7:$I$7</definedName>
    <definedName name="solver_lhs2" localSheetId="3" hidden="1">'MPS incubment'!$F$12:$I$12</definedName>
    <definedName name="solver_lhs2" localSheetId="4" hidden="1">'MPS minCO'!$F$12:$I$12</definedName>
    <definedName name="solver_lhs2" localSheetId="5" hidden="1">'MPS minPOH'!$F$12:$I$12</definedName>
    <definedName name="solver_lhs2" localSheetId="6" hidden="1">'MPS with_Slover'!$F$12:$I$12</definedName>
    <definedName name="solver_lhs3" localSheetId="3" hidden="1">'MPS incubment'!$F$25:$I$25</definedName>
    <definedName name="solver_lhs3" localSheetId="4" hidden="1">'MPS minCO'!$F$25:$I$25</definedName>
    <definedName name="solver_lhs3" localSheetId="5" hidden="1">'MPS minPOH'!$F$25:$I$25</definedName>
    <definedName name="solver_lhs3" localSheetId="6" hidden="1">'MPS with_Slover'!$F$25:$I$25</definedName>
    <definedName name="solver_lhs4" localSheetId="3" hidden="1">'MPS incubment'!$F$35:$I$35</definedName>
    <definedName name="solver_lhs4" localSheetId="4" hidden="1">'MPS minCO'!$F$35:$I$35</definedName>
    <definedName name="solver_lhs4" localSheetId="5" hidden="1">'MPS minPOH'!$F$35:$I$35</definedName>
    <definedName name="solver_lhs4" localSheetId="6" hidden="1">'MPS with_Slover'!$F$35:$I$35</definedName>
    <definedName name="solver_lhs5" localSheetId="3" hidden="1">'MPS incubment'!$F$4:$I$4</definedName>
    <definedName name="solver_lhs5" localSheetId="4" hidden="1">'MPS minCO'!$F$4:$I$4</definedName>
    <definedName name="solver_lhs5" localSheetId="5" hidden="1">'MPS minPOH'!$F$4:$I$4</definedName>
    <definedName name="solver_lhs5" localSheetId="6" hidden="1">'MPS with_Slover'!$F$4:$I$4</definedName>
    <definedName name="solver_lhs6" localSheetId="3" hidden="1">'MPS incubment'!$F$7:$I$7</definedName>
    <definedName name="solver_lhs6" localSheetId="4" hidden="1">'MPS minCO'!$F$7:$I$7</definedName>
    <definedName name="solver_lhs6" localSheetId="5" hidden="1">'MPS minPOH'!$F$7:$I$7</definedName>
    <definedName name="solver_lhs6" localSheetId="6" hidden="1">'MPS with_Slover'!$F$7:$I$7</definedName>
    <definedName name="solver_lhs7" localSheetId="3" hidden="1">'MPS incubment'!$F$4:$I$4</definedName>
    <definedName name="solver_lhs7" localSheetId="4" hidden="1">'MPS minCO'!$F$4:$I$4</definedName>
    <definedName name="solver_lhs7" localSheetId="5" hidden="1">'MPS minPOH'!$F$4:$I$4</definedName>
    <definedName name="solver_lhs7" localSheetId="6" hidden="1">'MPS with_Slover'!$F$4:$I$4</definedName>
    <definedName name="solver_lhs8" localSheetId="3" hidden="1">'MPS incubment'!$F$4:$I$4</definedName>
    <definedName name="solver_lhs8" localSheetId="4" hidden="1">'MPS minCO'!$F$4:$I$4</definedName>
    <definedName name="solver_lhs8" localSheetId="5" hidden="1">'MPS minPOH'!$F$4:$I$4</definedName>
    <definedName name="solver_lhs8" localSheetId="6" hidden="1">'MPS with_Slover'!$F$4:$I$4</definedName>
    <definedName name="solver_lhs9" localSheetId="3" hidden="1">'MPS incubment'!$F$7:$I$7</definedName>
    <definedName name="solver_lhs9" localSheetId="4" hidden="1">'MPS minCO'!$F$7:$I$7</definedName>
    <definedName name="solver_lhs9" localSheetId="5" hidden="1">'MPS minPOH'!$F$7:$I$7</definedName>
    <definedName name="solver_lhs9" localSheetId="6" hidden="1">'MPS with_Slover'!$F$7:$I$7</definedName>
    <definedName name="solver_mip" localSheetId="3" hidden="1">2147483647</definedName>
    <definedName name="solver_mip" localSheetId="4" hidden="1">2147483647</definedName>
    <definedName name="solver_mip" localSheetId="5" hidden="1">2147483647</definedName>
    <definedName name="solver_mip" localSheetId="6" hidden="1">2147483647</definedName>
    <definedName name="solver_mni" localSheetId="3" hidden="1">30</definedName>
    <definedName name="solver_mni" localSheetId="4" hidden="1">30</definedName>
    <definedName name="solver_mni" localSheetId="5" hidden="1">30</definedName>
    <definedName name="solver_mni" localSheetId="6" hidden="1">30</definedName>
    <definedName name="solver_mrt" localSheetId="3" hidden="1">0.075</definedName>
    <definedName name="solver_mrt" localSheetId="4" hidden="1">0.075</definedName>
    <definedName name="solver_mrt" localSheetId="5" hidden="1">0.075</definedName>
    <definedName name="solver_mrt" localSheetId="6" hidden="1">0.075</definedName>
    <definedName name="solver_msl" localSheetId="3" hidden="1">2</definedName>
    <definedName name="solver_msl" localSheetId="4" hidden="1">2</definedName>
    <definedName name="solver_msl" localSheetId="5" hidden="1">2</definedName>
    <definedName name="solver_msl" localSheetId="6" hidden="1">2</definedName>
    <definedName name="solver_neg" localSheetId="3" hidden="1">1</definedName>
    <definedName name="solver_neg" localSheetId="4" hidden="1">1</definedName>
    <definedName name="solver_neg" localSheetId="5" hidden="1">1</definedName>
    <definedName name="solver_neg" localSheetId="6" hidden="1">1</definedName>
    <definedName name="solver_nod" localSheetId="3" hidden="1">2147483647</definedName>
    <definedName name="solver_nod" localSheetId="4" hidden="1">2147483647</definedName>
    <definedName name="solver_nod" localSheetId="5" hidden="1">2147483647</definedName>
    <definedName name="solver_nod" localSheetId="6" hidden="1">2147483647</definedName>
    <definedName name="solver_num" localSheetId="3" hidden="1">6</definedName>
    <definedName name="solver_num" localSheetId="4" hidden="1">6</definedName>
    <definedName name="solver_num" localSheetId="5" hidden="1">6</definedName>
    <definedName name="solver_num" localSheetId="6" hidden="1">6</definedName>
    <definedName name="solver_nwt" localSheetId="3" hidden="1">1</definedName>
    <definedName name="solver_nwt" localSheetId="4" hidden="1">1</definedName>
    <definedName name="solver_nwt" localSheetId="5" hidden="1">1</definedName>
    <definedName name="solver_nwt" localSheetId="6" hidden="1">1</definedName>
    <definedName name="solver_opt" localSheetId="3" hidden="1">'MPS incubment'!$L$8</definedName>
    <definedName name="solver_opt" localSheetId="4" hidden="1">'MPS minCO'!$L$8</definedName>
    <definedName name="solver_opt" localSheetId="5" hidden="1">'MPS minPOH'!$J$17</definedName>
    <definedName name="solver_opt" localSheetId="6" hidden="1">'MPS with_Slover'!$L$8</definedName>
    <definedName name="solver_pre" localSheetId="3" hidden="1">0.000001</definedName>
    <definedName name="solver_pre" localSheetId="4" hidden="1">0.000001</definedName>
    <definedName name="solver_pre" localSheetId="5" hidden="1">0.000001</definedName>
    <definedName name="solver_pre" localSheetId="6" hidden="1">0.000001</definedName>
    <definedName name="solver_rbv" localSheetId="3" hidden="1">1</definedName>
    <definedName name="solver_rbv" localSheetId="4" hidden="1">1</definedName>
    <definedName name="solver_rbv" localSheetId="5" hidden="1">1</definedName>
    <definedName name="solver_rbv" localSheetId="6" hidden="1">1</definedName>
    <definedName name="solver_rel1" localSheetId="3" hidden="1">4</definedName>
    <definedName name="solver_rel1" localSheetId="4" hidden="1">4</definedName>
    <definedName name="solver_rel1" localSheetId="5" hidden="1">4</definedName>
    <definedName name="solver_rel1" localSheetId="6" hidden="1">4</definedName>
    <definedName name="solver_rel10" localSheetId="3" hidden="1">4</definedName>
    <definedName name="solver_rel10" localSheetId="4" hidden="1">4</definedName>
    <definedName name="solver_rel10" localSheetId="5" hidden="1">4</definedName>
    <definedName name="solver_rel10" localSheetId="6" hidden="1">4</definedName>
    <definedName name="solver_rel2" localSheetId="3" hidden="1">3</definedName>
    <definedName name="solver_rel2" localSheetId="4" hidden="1">3</definedName>
    <definedName name="solver_rel2" localSheetId="5" hidden="1">3</definedName>
    <definedName name="solver_rel2" localSheetId="6" hidden="1">3</definedName>
    <definedName name="solver_rel3" localSheetId="3" hidden="1">3</definedName>
    <definedName name="solver_rel3" localSheetId="4" hidden="1">3</definedName>
    <definedName name="solver_rel3" localSheetId="5" hidden="1">3</definedName>
    <definedName name="solver_rel3" localSheetId="6" hidden="1">3</definedName>
    <definedName name="solver_rel4" localSheetId="3" hidden="1">3</definedName>
    <definedName name="solver_rel4" localSheetId="4" hidden="1">3</definedName>
    <definedName name="solver_rel4" localSheetId="5" hidden="1">3</definedName>
    <definedName name="solver_rel4" localSheetId="6" hidden="1">3</definedName>
    <definedName name="solver_rel5" localSheetId="3" hidden="1">4</definedName>
    <definedName name="solver_rel5" localSheetId="4" hidden="1">4</definedName>
    <definedName name="solver_rel5" localSheetId="5" hidden="1">4</definedName>
    <definedName name="solver_rel5" localSheetId="6" hidden="1">4</definedName>
    <definedName name="solver_rel6" localSheetId="3" hidden="1">4</definedName>
    <definedName name="solver_rel6" localSheetId="4" hidden="1">4</definedName>
    <definedName name="solver_rel6" localSheetId="5" hidden="1">4</definedName>
    <definedName name="solver_rel6" localSheetId="6" hidden="1">4</definedName>
    <definedName name="solver_rel7" localSheetId="3" hidden="1">1</definedName>
    <definedName name="solver_rel7" localSheetId="4" hidden="1">1</definedName>
    <definedName name="solver_rel7" localSheetId="5" hidden="1">1</definedName>
    <definedName name="solver_rel7" localSheetId="6" hidden="1">1</definedName>
    <definedName name="solver_rel8" localSheetId="3" hidden="1">4</definedName>
    <definedName name="solver_rel8" localSheetId="4" hidden="1">4</definedName>
    <definedName name="solver_rel8" localSheetId="5" hidden="1">4</definedName>
    <definedName name="solver_rel8" localSheetId="6" hidden="1">4</definedName>
    <definedName name="solver_rel9" localSheetId="3" hidden="1">1</definedName>
    <definedName name="solver_rel9" localSheetId="4" hidden="1">1</definedName>
    <definedName name="solver_rel9" localSheetId="5" hidden="1">1</definedName>
    <definedName name="solver_rel9" localSheetId="6" hidden="1">1</definedName>
    <definedName name="solver_rhs1" localSheetId="3" hidden="1">"integer"</definedName>
    <definedName name="solver_rhs1" localSheetId="4" hidden="1">"integer"</definedName>
    <definedName name="solver_rhs1" localSheetId="5" hidden="1">"integer"</definedName>
    <definedName name="solver_rhs1" localSheetId="6" hidden="1">"integer"</definedName>
    <definedName name="solver_rhs10" localSheetId="3" hidden="1">integer</definedName>
    <definedName name="solver_rhs10" localSheetId="4" hidden="1">integer</definedName>
    <definedName name="solver_rhs10" localSheetId="5" hidden="1">integer</definedName>
    <definedName name="solver_rhs10" localSheetId="6" hidden="1">integer</definedName>
    <definedName name="solver_rhs2" localSheetId="3" hidden="1">0</definedName>
    <definedName name="solver_rhs2" localSheetId="4" hidden="1">0</definedName>
    <definedName name="solver_rhs2" localSheetId="5" hidden="1">0</definedName>
    <definedName name="solver_rhs2" localSheetId="6" hidden="1">0</definedName>
    <definedName name="solver_rhs3" localSheetId="3" hidden="1">0</definedName>
    <definedName name="solver_rhs3" localSheetId="4" hidden="1">0</definedName>
    <definedName name="solver_rhs3" localSheetId="5" hidden="1">0</definedName>
    <definedName name="solver_rhs3" localSheetId="6" hidden="1">0</definedName>
    <definedName name="solver_rhs4" localSheetId="3" hidden="1">0</definedName>
    <definedName name="solver_rhs4" localSheetId="4" hidden="1">0</definedName>
    <definedName name="solver_rhs4" localSheetId="5" hidden="1">0</definedName>
    <definedName name="solver_rhs4" localSheetId="6" hidden="1">0</definedName>
    <definedName name="solver_rhs5" localSheetId="3" hidden="1">"integer"</definedName>
    <definedName name="solver_rhs5" localSheetId="4" hidden="1">"integer"</definedName>
    <definedName name="solver_rhs5" localSheetId="5" hidden="1">"integer"</definedName>
    <definedName name="solver_rhs5" localSheetId="6" hidden="1">"integer"</definedName>
    <definedName name="solver_rhs6" localSheetId="3" hidden="1">"integer"</definedName>
    <definedName name="solver_rhs6" localSheetId="4" hidden="1">"integer"</definedName>
    <definedName name="solver_rhs6" localSheetId="5" hidden="1">"integer"</definedName>
    <definedName name="solver_rhs6" localSheetId="6" hidden="1">"integer"</definedName>
    <definedName name="solver_rhs7" localSheetId="3" hidden="1">300</definedName>
    <definedName name="solver_rhs7" localSheetId="4" hidden="1">300</definedName>
    <definedName name="solver_rhs7" localSheetId="5" hidden="1">300</definedName>
    <definedName name="solver_rhs7" localSheetId="6" hidden="1">300</definedName>
    <definedName name="solver_rhs8" localSheetId="3" hidden="1">integer</definedName>
    <definedName name="solver_rhs8" localSheetId="4" hidden="1">integer</definedName>
    <definedName name="solver_rhs8" localSheetId="5" hidden="1">integer</definedName>
    <definedName name="solver_rhs8" localSheetId="6" hidden="1">integer</definedName>
    <definedName name="solver_rhs9" localSheetId="3" hidden="1">300</definedName>
    <definedName name="solver_rhs9" localSheetId="4" hidden="1">300</definedName>
    <definedName name="solver_rhs9" localSheetId="5" hidden="1">300</definedName>
    <definedName name="solver_rhs9" localSheetId="6" hidden="1">300</definedName>
    <definedName name="solver_rlx" localSheetId="3" hidden="1">2</definedName>
    <definedName name="solver_rlx" localSheetId="4" hidden="1">2</definedName>
    <definedName name="solver_rlx" localSheetId="5" hidden="1">2</definedName>
    <definedName name="solver_rlx" localSheetId="6" hidden="1">2</definedName>
    <definedName name="solver_rsd" localSheetId="3" hidden="1">0</definedName>
    <definedName name="solver_rsd" localSheetId="4" hidden="1">0</definedName>
    <definedName name="solver_rsd" localSheetId="5" hidden="1">0</definedName>
    <definedName name="solver_rsd" localSheetId="6" hidden="1">0</definedName>
    <definedName name="solver_scl" localSheetId="3" hidden="1">1</definedName>
    <definedName name="solver_scl" localSheetId="4" hidden="1">1</definedName>
    <definedName name="solver_scl" localSheetId="5" hidden="1">1</definedName>
    <definedName name="solver_scl" localSheetId="6" hidden="1">1</definedName>
    <definedName name="solver_sho" localSheetId="3" hidden="1">2</definedName>
    <definedName name="solver_sho" localSheetId="4" hidden="1">2</definedName>
    <definedName name="solver_sho" localSheetId="5" hidden="1">2</definedName>
    <definedName name="solver_sho" localSheetId="6" hidden="1">2</definedName>
    <definedName name="solver_ssz" localSheetId="3" hidden="1">100</definedName>
    <definedName name="solver_ssz" localSheetId="4" hidden="1">100</definedName>
    <definedName name="solver_ssz" localSheetId="5" hidden="1">100</definedName>
    <definedName name="solver_ssz" localSheetId="6" hidden="1">100</definedName>
    <definedName name="solver_tim" localSheetId="3" hidden="1">2147483647</definedName>
    <definedName name="solver_tim" localSheetId="4" hidden="1">2147483647</definedName>
    <definedName name="solver_tim" localSheetId="5" hidden="1">2147483647</definedName>
    <definedName name="solver_tim" localSheetId="6" hidden="1">2147483647</definedName>
    <definedName name="solver_tol" localSheetId="3" hidden="1">0.01</definedName>
    <definedName name="solver_tol" localSheetId="4" hidden="1">0.01</definedName>
    <definedName name="solver_tol" localSheetId="5" hidden="1">0.01</definedName>
    <definedName name="solver_tol" localSheetId="6" hidden="1">0.01</definedName>
    <definedName name="solver_typ" localSheetId="3" hidden="1">2</definedName>
    <definedName name="solver_typ" localSheetId="4" hidden="1">2</definedName>
    <definedName name="solver_typ" localSheetId="5" hidden="1">2</definedName>
    <definedName name="solver_typ" localSheetId="6" hidden="1">2</definedName>
    <definedName name="solver_val" localSheetId="3" hidden="1">0</definedName>
    <definedName name="solver_val" localSheetId="4" hidden="1">0</definedName>
    <definedName name="solver_val" localSheetId="5" hidden="1">0</definedName>
    <definedName name="solver_val" localSheetId="6" hidden="1">0</definedName>
    <definedName name="solver_ver" localSheetId="3" hidden="1">3</definedName>
    <definedName name="solver_ver" localSheetId="4" hidden="1">3</definedName>
    <definedName name="solver_ver" localSheetId="5" hidden="1">3</definedName>
    <definedName name="solver_ver" localSheetId="6" hidden="1">3</definedName>
    <definedName name="third" localSheetId="3">'MPS incubment'!$H$4,'MPS incubment'!$H$7,'MPS incubment'!$H$10</definedName>
    <definedName name="third" localSheetId="4">'MPS minCO'!$H$4,'MPS minCO'!$H$7,'MPS minCO'!$H$10</definedName>
    <definedName name="third" localSheetId="5">'MPS minPOH'!$H$4,'MPS minPOH'!$H$7,'MPS minPOH'!$H$10</definedName>
    <definedName name="third" localSheetId="6">'MPS with_Slover'!$H$4,'MPS with_Slover'!$H$7,'MPS with_Slover'!$H$10</definedName>
    <definedName name="third">#REF!,#REF!,#REF!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5" i="1" l="1"/>
  <c r="D15" i="1"/>
  <c r="C15" i="1"/>
  <c r="I32" i="8" l="1"/>
  <c r="H32" i="8"/>
  <c r="G32" i="8"/>
  <c r="F32" i="8"/>
  <c r="I27" i="8"/>
  <c r="H27" i="8"/>
  <c r="G27" i="8"/>
  <c r="F27" i="8"/>
  <c r="I24" i="8"/>
  <c r="I29" i="8" s="1"/>
  <c r="H24" i="8"/>
  <c r="H29" i="8" s="1"/>
  <c r="G24" i="8"/>
  <c r="G29" i="8" s="1"/>
  <c r="F24" i="8"/>
  <c r="F29" i="8" s="1"/>
  <c r="I23" i="8"/>
  <c r="I28" i="8" s="1"/>
  <c r="H23" i="8"/>
  <c r="H28" i="8" s="1"/>
  <c r="G23" i="8"/>
  <c r="G28" i="8" s="1"/>
  <c r="I22" i="8"/>
  <c r="H22" i="8"/>
  <c r="G22" i="8"/>
  <c r="F22" i="8"/>
  <c r="I32" i="10"/>
  <c r="H32" i="10"/>
  <c r="G32" i="10"/>
  <c r="F32" i="10"/>
  <c r="I27" i="10"/>
  <c r="H27" i="10"/>
  <c r="G27" i="10"/>
  <c r="F27" i="10"/>
  <c r="I24" i="10"/>
  <c r="I29" i="10" s="1"/>
  <c r="H24" i="10"/>
  <c r="H29" i="10" s="1"/>
  <c r="G24" i="10"/>
  <c r="G29" i="10" s="1"/>
  <c r="F24" i="10"/>
  <c r="F29" i="10" s="1"/>
  <c r="G23" i="10"/>
  <c r="G28" i="10" s="1"/>
  <c r="F23" i="10"/>
  <c r="I22" i="10"/>
  <c r="H22" i="10"/>
  <c r="G22" i="10"/>
  <c r="F22" i="10"/>
  <c r="I32" i="9"/>
  <c r="H32" i="9"/>
  <c r="G32" i="9"/>
  <c r="F32" i="9"/>
  <c r="I27" i="9"/>
  <c r="H27" i="9"/>
  <c r="G27" i="9"/>
  <c r="F27" i="9"/>
  <c r="I24" i="9"/>
  <c r="I29" i="9" s="1"/>
  <c r="H24" i="9"/>
  <c r="H29" i="9" s="1"/>
  <c r="G24" i="9"/>
  <c r="G29" i="9" s="1"/>
  <c r="F24" i="9"/>
  <c r="F29" i="9" s="1"/>
  <c r="I23" i="9"/>
  <c r="I28" i="9" s="1"/>
  <c r="H23" i="9"/>
  <c r="G23" i="9"/>
  <c r="I22" i="9"/>
  <c r="H22" i="9"/>
  <c r="G22" i="9"/>
  <c r="F22" i="9"/>
  <c r="I32" i="7"/>
  <c r="H32" i="7"/>
  <c r="G32" i="7"/>
  <c r="F32" i="7"/>
  <c r="I27" i="7"/>
  <c r="H27" i="7"/>
  <c r="G27" i="7"/>
  <c r="F27" i="7"/>
  <c r="I24" i="7"/>
  <c r="I29" i="7" s="1"/>
  <c r="H24" i="7"/>
  <c r="H29" i="7" s="1"/>
  <c r="G24" i="7"/>
  <c r="G29" i="7" s="1"/>
  <c r="F24" i="7"/>
  <c r="F23" i="7" s="1"/>
  <c r="I23" i="7"/>
  <c r="I28" i="7" s="1"/>
  <c r="H23" i="7"/>
  <c r="H28" i="7" s="1"/>
  <c r="G23" i="7"/>
  <c r="I22" i="7"/>
  <c r="H22" i="7"/>
  <c r="G22" i="7"/>
  <c r="F22" i="7"/>
  <c r="G28" i="7" l="1"/>
  <c r="H28" i="9"/>
  <c r="I23" i="10"/>
  <c r="I28" i="10" s="1"/>
  <c r="I30" i="10" s="1"/>
  <c r="G30" i="8"/>
  <c r="H30" i="8"/>
  <c r="I30" i="8"/>
  <c r="F23" i="8"/>
  <c r="G25" i="8"/>
  <c r="H25" i="8"/>
  <c r="I25" i="8"/>
  <c r="F28" i="10"/>
  <c r="G30" i="10"/>
  <c r="F25" i="10"/>
  <c r="G25" i="10"/>
  <c r="H23" i="10"/>
  <c r="I25" i="10"/>
  <c r="H30" i="9"/>
  <c r="G28" i="9"/>
  <c r="I30" i="9"/>
  <c r="F23" i="9"/>
  <c r="G25" i="9"/>
  <c r="H25" i="9"/>
  <c r="I25" i="9"/>
  <c r="G30" i="7"/>
  <c r="H30" i="7"/>
  <c r="F25" i="7"/>
  <c r="I30" i="7"/>
  <c r="F29" i="7"/>
  <c r="G25" i="7"/>
  <c r="H25" i="7"/>
  <c r="I25" i="7"/>
  <c r="F28" i="8" l="1"/>
  <c r="F25" i="8"/>
  <c r="H25" i="10"/>
  <c r="H28" i="10"/>
  <c r="F30" i="10"/>
  <c r="F28" i="9"/>
  <c r="F25" i="9"/>
  <c r="G30" i="9"/>
  <c r="F28" i="7"/>
  <c r="F30" i="8" l="1"/>
  <c r="H30" i="10"/>
  <c r="F30" i="9"/>
  <c r="F30" i="7"/>
  <c r="G6" i="1" l="1"/>
  <c r="D14" i="1"/>
  <c r="I41" i="10" l="1"/>
  <c r="H41" i="10"/>
  <c r="G41" i="10"/>
  <c r="F41" i="10"/>
  <c r="I40" i="10"/>
  <c r="H40" i="10"/>
  <c r="G40" i="10"/>
  <c r="F40" i="10"/>
  <c r="I39" i="10"/>
  <c r="H39" i="10"/>
  <c r="G39" i="10"/>
  <c r="F39" i="10"/>
  <c r="I20" i="10"/>
  <c r="H20" i="10"/>
  <c r="G20" i="10"/>
  <c r="F20" i="10"/>
  <c r="J20" i="10" s="1"/>
  <c r="P17" i="10"/>
  <c r="O17" i="10"/>
  <c r="N17" i="10"/>
  <c r="I16" i="10"/>
  <c r="H16" i="10"/>
  <c r="G16" i="10"/>
  <c r="F16" i="10"/>
  <c r="E16" i="10"/>
  <c r="P15" i="10"/>
  <c r="O15" i="10"/>
  <c r="N15" i="10"/>
  <c r="P14" i="10"/>
  <c r="O14" i="10"/>
  <c r="N14" i="10"/>
  <c r="I14" i="10"/>
  <c r="H14" i="10"/>
  <c r="G14" i="10"/>
  <c r="F14" i="10"/>
  <c r="P13" i="10"/>
  <c r="O13" i="10"/>
  <c r="N13" i="10"/>
  <c r="O12" i="10"/>
  <c r="D11" i="10"/>
  <c r="D10" i="10"/>
  <c r="D8" i="10"/>
  <c r="P7" i="10"/>
  <c r="O7" i="10"/>
  <c r="N7" i="10"/>
  <c r="D7" i="10"/>
  <c r="D5" i="10"/>
  <c r="D4" i="10"/>
  <c r="I41" i="9"/>
  <c r="H41" i="9"/>
  <c r="G41" i="9"/>
  <c r="F41" i="9"/>
  <c r="I40" i="9"/>
  <c r="H40" i="9"/>
  <c r="G40" i="9"/>
  <c r="F40" i="9"/>
  <c r="I39" i="9"/>
  <c r="H39" i="9"/>
  <c r="G39" i="9"/>
  <c r="F39" i="9"/>
  <c r="I20" i="9"/>
  <c r="H20" i="9"/>
  <c r="G20" i="9"/>
  <c r="F20" i="9"/>
  <c r="P17" i="9"/>
  <c r="O17" i="9"/>
  <c r="N17" i="9"/>
  <c r="I16" i="9"/>
  <c r="H16" i="9"/>
  <c r="G16" i="9"/>
  <c r="G19" i="9" s="1"/>
  <c r="F16" i="9"/>
  <c r="E16" i="9"/>
  <c r="P15" i="9"/>
  <c r="O15" i="9"/>
  <c r="N15" i="9"/>
  <c r="P14" i="9"/>
  <c r="O14" i="9"/>
  <c r="N14" i="9"/>
  <c r="I14" i="9"/>
  <c r="H14" i="9"/>
  <c r="G14" i="9"/>
  <c r="F14" i="9"/>
  <c r="P13" i="9"/>
  <c r="O13" i="9"/>
  <c r="N13" i="9"/>
  <c r="O12" i="9"/>
  <c r="D11" i="9"/>
  <c r="D10" i="9"/>
  <c r="D8" i="9"/>
  <c r="P7" i="9"/>
  <c r="O7" i="9"/>
  <c r="N7" i="9"/>
  <c r="D7" i="9"/>
  <c r="D5" i="9"/>
  <c r="D4" i="9"/>
  <c r="I41" i="8"/>
  <c r="H41" i="8"/>
  <c r="G41" i="8"/>
  <c r="F41" i="8"/>
  <c r="I40" i="8"/>
  <c r="H40" i="8"/>
  <c r="G40" i="8"/>
  <c r="F40" i="8"/>
  <c r="I39" i="8"/>
  <c r="H39" i="8"/>
  <c r="G39" i="8"/>
  <c r="F39" i="8"/>
  <c r="I20" i="8"/>
  <c r="H20" i="8"/>
  <c r="G20" i="8"/>
  <c r="F20" i="8"/>
  <c r="P17" i="8"/>
  <c r="O17" i="8"/>
  <c r="N17" i="8"/>
  <c r="I16" i="8"/>
  <c r="H16" i="8"/>
  <c r="H18" i="8" s="1"/>
  <c r="G16" i="8"/>
  <c r="F16" i="8"/>
  <c r="E16" i="8"/>
  <c r="P15" i="8"/>
  <c r="O15" i="8"/>
  <c r="N15" i="8"/>
  <c r="P14" i="8"/>
  <c r="O14" i="8"/>
  <c r="N14" i="8"/>
  <c r="I14" i="8"/>
  <c r="H14" i="8"/>
  <c r="G14" i="8"/>
  <c r="F14" i="8"/>
  <c r="P13" i="8"/>
  <c r="O13" i="8"/>
  <c r="N13" i="8"/>
  <c r="O12" i="8"/>
  <c r="D11" i="8"/>
  <c r="D10" i="8"/>
  <c r="D8" i="8"/>
  <c r="P7" i="8"/>
  <c r="O7" i="8"/>
  <c r="N7" i="8"/>
  <c r="D7" i="8"/>
  <c r="D5" i="8"/>
  <c r="D4" i="8"/>
  <c r="I41" i="7"/>
  <c r="H41" i="7"/>
  <c r="G41" i="7"/>
  <c r="F41" i="7"/>
  <c r="I40" i="7"/>
  <c r="H40" i="7"/>
  <c r="G40" i="7"/>
  <c r="F40" i="7"/>
  <c r="I39" i="7"/>
  <c r="H39" i="7"/>
  <c r="G39" i="7"/>
  <c r="F39" i="7"/>
  <c r="I20" i="7"/>
  <c r="H20" i="7"/>
  <c r="G20" i="7"/>
  <c r="F20" i="7"/>
  <c r="P17" i="7"/>
  <c r="O17" i="7"/>
  <c r="N17" i="7"/>
  <c r="I16" i="7"/>
  <c r="H16" i="7"/>
  <c r="G16" i="7"/>
  <c r="F16" i="7"/>
  <c r="F19" i="7" s="1"/>
  <c r="E16" i="7"/>
  <c r="P15" i="7"/>
  <c r="O15" i="7"/>
  <c r="N15" i="7"/>
  <c r="P14" i="7"/>
  <c r="O14" i="7"/>
  <c r="N14" i="7"/>
  <c r="I14" i="7"/>
  <c r="H14" i="7"/>
  <c r="G14" i="7"/>
  <c r="F14" i="7"/>
  <c r="P13" i="7"/>
  <c r="O13" i="7"/>
  <c r="N13" i="7"/>
  <c r="O12" i="7"/>
  <c r="D11" i="7"/>
  <c r="D10" i="7"/>
  <c r="D8" i="7"/>
  <c r="P7" i="7"/>
  <c r="O7" i="7"/>
  <c r="N7" i="7"/>
  <c r="D7" i="7"/>
  <c r="D5" i="7"/>
  <c r="D4" i="7"/>
  <c r="I19" i="8" l="1"/>
  <c r="H18" i="9"/>
  <c r="F19" i="10"/>
  <c r="F12" i="10" s="1"/>
  <c r="F34" i="10" s="1"/>
  <c r="F33" i="10" s="1"/>
  <c r="F35" i="10" s="1"/>
  <c r="H18" i="7"/>
  <c r="F19" i="8"/>
  <c r="I18" i="9"/>
  <c r="H19" i="9"/>
  <c r="G19" i="10"/>
  <c r="I18" i="10"/>
  <c r="G19" i="7"/>
  <c r="I18" i="7"/>
  <c r="H19" i="7"/>
  <c r="G19" i="8"/>
  <c r="F18" i="9"/>
  <c r="H18" i="10"/>
  <c r="I19" i="10"/>
  <c r="I12" i="10" s="1"/>
  <c r="I34" i="10" s="1"/>
  <c r="I33" i="10" s="1"/>
  <c r="I35" i="10" s="1"/>
  <c r="H19" i="10"/>
  <c r="H19" i="8"/>
  <c r="J19" i="8" s="1"/>
  <c r="F3" i="11" s="1"/>
  <c r="F18" i="10"/>
  <c r="G12" i="10"/>
  <c r="G34" i="10" s="1"/>
  <c r="G33" i="10" s="1"/>
  <c r="G35" i="10" s="1"/>
  <c r="G18" i="10"/>
  <c r="J20" i="9"/>
  <c r="I19" i="9"/>
  <c r="I12" i="9" s="1"/>
  <c r="I34" i="9" s="1"/>
  <c r="I33" i="9" s="1"/>
  <c r="I35" i="9" s="1"/>
  <c r="G18" i="9"/>
  <c r="J18" i="9" s="1"/>
  <c r="E5" i="11" s="1"/>
  <c r="F19" i="9"/>
  <c r="G12" i="9"/>
  <c r="G34" i="9" s="1"/>
  <c r="G33" i="9" s="1"/>
  <c r="G35" i="9" s="1"/>
  <c r="H12" i="9"/>
  <c r="H34" i="9" s="1"/>
  <c r="H33" i="9" s="1"/>
  <c r="H35" i="9" s="1"/>
  <c r="J20" i="8"/>
  <c r="F12" i="8"/>
  <c r="F34" i="8" s="1"/>
  <c r="F33" i="8" s="1"/>
  <c r="F35" i="8" s="1"/>
  <c r="I18" i="8"/>
  <c r="F18" i="8"/>
  <c r="I12" i="8"/>
  <c r="I34" i="8" s="1"/>
  <c r="I33" i="8" s="1"/>
  <c r="I35" i="8" s="1"/>
  <c r="G18" i="8"/>
  <c r="G12" i="8"/>
  <c r="G34" i="8" s="1"/>
  <c r="G33" i="8" s="1"/>
  <c r="G35" i="8" s="1"/>
  <c r="F12" i="7"/>
  <c r="F34" i="7" s="1"/>
  <c r="F33" i="7" s="1"/>
  <c r="F35" i="7" s="1"/>
  <c r="J20" i="7"/>
  <c r="H12" i="7"/>
  <c r="H34" i="7" s="1"/>
  <c r="H33" i="7" s="1"/>
  <c r="H35" i="7" s="1"/>
  <c r="F18" i="7"/>
  <c r="I19" i="7"/>
  <c r="J19" i="7" s="1"/>
  <c r="F6" i="11" s="1"/>
  <c r="G12" i="7"/>
  <c r="G34" i="7" s="1"/>
  <c r="G33" i="7" s="1"/>
  <c r="G35" i="7" s="1"/>
  <c r="G18" i="7"/>
  <c r="J19" i="10" l="1"/>
  <c r="F4" i="11" s="1"/>
  <c r="H12" i="10"/>
  <c r="H34" i="10" s="1"/>
  <c r="H33" i="10" s="1"/>
  <c r="H35" i="10" s="1"/>
  <c r="H12" i="8"/>
  <c r="H34" i="8" s="1"/>
  <c r="H33" i="8" s="1"/>
  <c r="H35" i="8" s="1"/>
  <c r="J18" i="10"/>
  <c r="E4" i="11" s="1"/>
  <c r="J19" i="9"/>
  <c r="F5" i="11" s="1"/>
  <c r="F12" i="9"/>
  <c r="F34" i="9" s="1"/>
  <c r="F33" i="9" s="1"/>
  <c r="F35" i="9" s="1"/>
  <c r="J18" i="8"/>
  <c r="E3" i="11" s="1"/>
  <c r="I12" i="7"/>
  <c r="I34" i="7" s="1"/>
  <c r="I33" i="7" s="1"/>
  <c r="I35" i="7" s="1"/>
  <c r="J18" i="7"/>
  <c r="E6" i="11" s="1"/>
  <c r="J12" i="8" l="1"/>
  <c r="J12" i="10"/>
  <c r="J12" i="9"/>
  <c r="J12" i="7"/>
  <c r="L9" i="10" l="1"/>
  <c r="L9" i="9"/>
  <c r="L9" i="8"/>
  <c r="L9" i="7"/>
  <c r="H10" i="1" l="1"/>
  <c r="E14" i="1"/>
  <c r="C14" i="1"/>
  <c r="N12" i="7" l="1"/>
  <c r="N12" i="9"/>
  <c r="N12" i="8"/>
  <c r="N12" i="10"/>
  <c r="P12" i="8"/>
  <c r="P12" i="10"/>
  <c r="P12" i="9"/>
  <c r="P12" i="7"/>
  <c r="U5" i="4"/>
  <c r="K10" i="4" s="1"/>
  <c r="N5" i="4"/>
  <c r="K9" i="4" s="1"/>
  <c r="G5" i="4"/>
  <c r="K8" i="4" s="1"/>
  <c r="B1" i="4"/>
  <c r="G8" i="4" l="1"/>
  <c r="J8" i="4"/>
  <c r="G10" i="4"/>
  <c r="H10" i="4"/>
  <c r="I10" i="4"/>
  <c r="J10" i="4"/>
  <c r="G9" i="4"/>
  <c r="H9" i="4"/>
  <c r="J9" i="4"/>
  <c r="I9" i="4"/>
  <c r="I8" i="4"/>
  <c r="H8" i="4"/>
  <c r="G3" i="9" l="1"/>
  <c r="G3" i="7"/>
  <c r="G3" i="10"/>
  <c r="G3" i="8"/>
  <c r="G6" i="10"/>
  <c r="G6" i="8"/>
  <c r="G6" i="9"/>
  <c r="G6" i="7"/>
  <c r="G9" i="9"/>
  <c r="G9" i="7"/>
  <c r="G9" i="10"/>
  <c r="G9" i="8"/>
  <c r="H3" i="9"/>
  <c r="H3" i="7"/>
  <c r="H3" i="10"/>
  <c r="H3" i="8"/>
  <c r="F6" i="9"/>
  <c r="F6" i="7"/>
  <c r="F6" i="10"/>
  <c r="F6" i="8"/>
  <c r="F9" i="10"/>
  <c r="F9" i="8"/>
  <c r="F9" i="9"/>
  <c r="F11" i="9" s="1"/>
  <c r="G11" i="9" s="1"/>
  <c r="F9" i="7"/>
  <c r="H6" i="9"/>
  <c r="H6" i="7"/>
  <c r="H6" i="10"/>
  <c r="H6" i="8"/>
  <c r="I9" i="9"/>
  <c r="I9" i="7"/>
  <c r="I9" i="8"/>
  <c r="I9" i="10"/>
  <c r="I3" i="9"/>
  <c r="I3" i="7"/>
  <c r="I3" i="10"/>
  <c r="I3" i="8"/>
  <c r="I6" i="9"/>
  <c r="I6" i="7"/>
  <c r="I6" i="10"/>
  <c r="I6" i="8"/>
  <c r="H9" i="9"/>
  <c r="H9" i="7"/>
  <c r="H9" i="8"/>
  <c r="H9" i="10"/>
  <c r="F3" i="10"/>
  <c r="F3" i="8"/>
  <c r="F5" i="8" s="1"/>
  <c r="F3" i="9"/>
  <c r="F3" i="7"/>
  <c r="B1" i="1"/>
  <c r="A1" i="1"/>
  <c r="J7" i="8" l="1"/>
  <c r="F8" i="8"/>
  <c r="G8" i="8" s="1"/>
  <c r="H8" i="8" s="1"/>
  <c r="I8" i="8" s="1"/>
  <c r="J4" i="8"/>
  <c r="J10" i="7"/>
  <c r="F11" i="7"/>
  <c r="G11" i="7" s="1"/>
  <c r="H11" i="7" s="1"/>
  <c r="I11" i="7" s="1"/>
  <c r="H11" i="9"/>
  <c r="I11" i="9" s="1"/>
  <c r="J7" i="10"/>
  <c r="F8" i="10"/>
  <c r="G8" i="10" s="1"/>
  <c r="H8" i="10" s="1"/>
  <c r="I8" i="10" s="1"/>
  <c r="J4" i="7"/>
  <c r="F5" i="7"/>
  <c r="F13" i="7" s="1"/>
  <c r="J4" i="9"/>
  <c r="F5" i="9"/>
  <c r="G5" i="8"/>
  <c r="J10" i="8"/>
  <c r="F11" i="8"/>
  <c r="G11" i="8" s="1"/>
  <c r="H11" i="8" s="1"/>
  <c r="I11" i="8" s="1"/>
  <c r="J7" i="7"/>
  <c r="F8" i="7"/>
  <c r="G8" i="7" s="1"/>
  <c r="H8" i="7" s="1"/>
  <c r="I8" i="7" s="1"/>
  <c r="J4" i="10"/>
  <c r="F5" i="10"/>
  <c r="J10" i="10"/>
  <c r="F11" i="10"/>
  <c r="G11" i="10" s="1"/>
  <c r="H11" i="10" s="1"/>
  <c r="I11" i="10" s="1"/>
  <c r="J7" i="9"/>
  <c r="F8" i="9"/>
  <c r="G8" i="9" s="1"/>
  <c r="H8" i="9" s="1"/>
  <c r="I8" i="9" s="1"/>
  <c r="J10" i="9"/>
  <c r="F13" i="8" l="1"/>
  <c r="F13" i="10"/>
  <c r="G5" i="10"/>
  <c r="F17" i="10"/>
  <c r="G5" i="9"/>
  <c r="F17" i="9"/>
  <c r="F13" i="9"/>
  <c r="H5" i="8"/>
  <c r="G13" i="8"/>
  <c r="G17" i="8"/>
  <c r="F17" i="8"/>
  <c r="F17" i="7"/>
  <c r="G5" i="7"/>
  <c r="G17" i="7" s="1"/>
  <c r="G17" i="9" l="1"/>
  <c r="H5" i="9"/>
  <c r="G13" i="9"/>
  <c r="H5" i="7"/>
  <c r="G13" i="7"/>
  <c r="I5" i="8"/>
  <c r="H17" i="8"/>
  <c r="H13" i="8"/>
  <c r="H5" i="10"/>
  <c r="G13" i="10"/>
  <c r="G17" i="10"/>
  <c r="I17" i="8" l="1"/>
  <c r="J17" i="8" s="1"/>
  <c r="I13" i="8"/>
  <c r="H17" i="10"/>
  <c r="I5" i="10"/>
  <c r="H13" i="10"/>
  <c r="H13" i="9"/>
  <c r="H17" i="9"/>
  <c r="I5" i="9"/>
  <c r="H17" i="7"/>
  <c r="I5" i="7"/>
  <c r="H13" i="7"/>
  <c r="I17" i="9" l="1"/>
  <c r="J17" i="9" s="1"/>
  <c r="I13" i="9"/>
  <c r="I17" i="10"/>
  <c r="J17" i="10" s="1"/>
  <c r="I13" i="10"/>
  <c r="I17" i="7"/>
  <c r="J17" i="7" s="1"/>
  <c r="I13" i="7"/>
  <c r="D3" i="11"/>
  <c r="L8" i="8"/>
  <c r="C3" i="11" s="1"/>
  <c r="L8" i="10" l="1"/>
  <c r="C4" i="11" s="1"/>
  <c r="D4" i="11"/>
  <c r="L8" i="7"/>
  <c r="C6" i="11" s="1"/>
  <c r="D6" i="11"/>
  <c r="L8" i="9"/>
  <c r="C5" i="11" s="1"/>
  <c r="D5" i="11"/>
</calcChain>
</file>

<file path=xl/sharedStrings.xml><?xml version="1.0" encoding="utf-8"?>
<sst xmlns="http://schemas.openxmlformats.org/spreadsheetml/2006/main" count="244" uniqueCount="67">
  <si>
    <t>هزینه نگهداری هر واحد در ماه</t>
  </si>
  <si>
    <t>سقف کمبود</t>
  </si>
  <si>
    <t>سقف نگهداری / موجودی انبار</t>
  </si>
  <si>
    <t>حداکثر ساعت کاری هر نفر در روز</t>
  </si>
  <si>
    <t>سقف اضافه کاری هر نفر در روز</t>
  </si>
  <si>
    <t>ماه</t>
  </si>
  <si>
    <t>روز کاری</t>
  </si>
  <si>
    <t>کارگر</t>
  </si>
  <si>
    <t>کاربری</t>
  </si>
  <si>
    <t>کارایی</t>
  </si>
  <si>
    <t>محصول</t>
  </si>
  <si>
    <t>زمان تولید</t>
  </si>
  <si>
    <t>1. در این شیت داده‌های موردنیاز از فاز قبلی درج شده است.
2. از آنجایی که چنج‌اور به هر محصول و آماده‌سازی خط تولید برای تولید آن محصول در یک زمانی هم نیازمند چنج‌اور به محصول دیگر و خروج خط تولید از حالت آماده‌باش آن محصول است فلذا در درج هزینه و زمان چنج‌اور هزینه‌ها را مستقل آورده ایم که حاصل یک ورود و یک خروج از آن محصول است.</t>
  </si>
  <si>
    <t>هفته:</t>
  </si>
  <si>
    <t>:Fst</t>
  </si>
  <si>
    <t>MPS</t>
  </si>
  <si>
    <t>POH</t>
  </si>
  <si>
    <t>تابع هدف</t>
  </si>
  <si>
    <t>هزینه‌ها</t>
  </si>
  <si>
    <t>ک -</t>
  </si>
  <si>
    <t>CCo</t>
  </si>
  <si>
    <t>م +</t>
  </si>
  <si>
    <t>ACO</t>
  </si>
  <si>
    <t>CoC</t>
  </si>
  <si>
    <t>DCO</t>
  </si>
  <si>
    <t/>
  </si>
  <si>
    <t xml:space="preserve">1 </t>
  </si>
  <si>
    <t xml:space="preserve">2 </t>
  </si>
  <si>
    <t>CoT</t>
  </si>
  <si>
    <t>هزینه تولید</t>
  </si>
  <si>
    <t>POHC</t>
  </si>
  <si>
    <t>CoCost</t>
  </si>
  <si>
    <t>CoTime</t>
  </si>
  <si>
    <t>تولید ماه</t>
  </si>
  <si>
    <t>کل پتانسیل (ساعت)</t>
  </si>
  <si>
    <t>Vulcan 10</t>
  </si>
  <si>
    <t>Vulcan 20</t>
  </si>
  <si>
    <t>Vulcan 35</t>
  </si>
  <si>
    <t>خرداد</t>
  </si>
  <si>
    <t xml:space="preserve">نوع توزیع بین هفته‌ها </t>
  </si>
  <si>
    <t>صعودی</t>
  </si>
  <si>
    <t>یکنواخت</t>
  </si>
  <si>
    <t>:Y</t>
  </si>
  <si>
    <t>پیش بینی</t>
  </si>
  <si>
    <t>نزولی</t>
  </si>
  <si>
    <t>عدد تولید ادغامی</t>
  </si>
  <si>
    <t>زمان تولید (دقیقه)</t>
  </si>
  <si>
    <t>اختلاف پیش بینی و MPS</t>
  </si>
  <si>
    <t>زمان  ideal در هفته (ساعت)</t>
  </si>
  <si>
    <t>درصد تخصیص</t>
  </si>
  <si>
    <t>الویت تخصیص</t>
  </si>
  <si>
    <t>ظرفیت تولید در هفته</t>
  </si>
  <si>
    <t>PL 1</t>
  </si>
  <si>
    <t>PL 2</t>
  </si>
  <si>
    <t>dMPS</t>
  </si>
  <si>
    <t>کارگرساعت مانده</t>
  </si>
  <si>
    <t>Strategy</t>
  </si>
  <si>
    <t>incubment</t>
  </si>
  <si>
    <t>minCo</t>
  </si>
  <si>
    <t>minPOH</t>
  </si>
  <si>
    <t>with_Slover</t>
  </si>
  <si>
    <t>COCost</t>
  </si>
  <si>
    <t>COTime</t>
  </si>
  <si>
    <t>نتیجه‌گیری</t>
  </si>
  <si>
    <t>total_Cost</t>
  </si>
  <si>
    <t>با توجه به در نظر گرفتن هزینه کل بهترین روش، روش چهارم است که هزینه مازاد بالغ بر 9 میلیون تومان دارد. اما در صورتی که به هر دلیلی سیاست واحد برنامه ریزی تولید حداقل کردن میزان چنج اور یا میزان نگهداری باشد میتوان از سه سیاست دیگر استفاده کرد که هزینه بیشتری دارد.</t>
  </si>
  <si>
    <t xml:space="preserve">هزینه کمبود هر کالا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</si>
</sst>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_);[Red]\(0\)"/>
    <numFmt numFmtId="167" formatCode="0.0"/>
  </numFmts>
  <fonts count="20">
    <font>
      <sz val="11"/>
      <color theme="1"/>
      <name val="B Yekan"/>
      <family val="2"/>
      <scheme val="minor"/>
    </font>
    <font>
      <sz val="11"/>
      <color theme="1"/>
      <name val="B Yekan"/>
      <family val="2"/>
      <scheme val="minor"/>
    </font>
    <font>
      <sz val="11"/>
      <color theme="1"/>
      <name val="B Yekan"/>
      <charset val="178"/>
    </font>
    <font>
      <sz val="12"/>
      <color theme="1"/>
      <name val="B Yekan"/>
      <charset val="178"/>
      <scheme val="minor"/>
    </font>
    <font>
      <sz val="12"/>
      <color theme="0"/>
      <name val="Tahoma"/>
      <family val="2"/>
    </font>
    <font>
      <b/>
      <sz val="11"/>
      <color theme="0"/>
      <name val="Tahoma"/>
      <family val="2"/>
    </font>
    <font>
      <sz val="18"/>
      <color theme="1"/>
      <name val="B Yekan"/>
      <charset val="178"/>
    </font>
    <font>
      <sz val="26"/>
      <color theme="1"/>
      <name val="B Yekan"/>
      <charset val="178"/>
    </font>
    <font>
      <sz val="12"/>
      <color theme="1"/>
      <name val="B Yekan"/>
      <charset val="178"/>
    </font>
    <font>
      <sz val="14"/>
      <color theme="1"/>
      <name val="B Yekan"/>
      <charset val="178"/>
    </font>
    <font>
      <sz val="22"/>
      <color theme="0"/>
      <name val="B Yekan"/>
      <charset val="178"/>
    </font>
    <font>
      <sz val="14"/>
      <color theme="0" tint="-0.499984740745262"/>
      <name val="B Yekan"/>
      <charset val="178"/>
    </font>
    <font>
      <sz val="14"/>
      <name val="B Yekan"/>
      <charset val="178"/>
    </font>
    <font>
      <sz val="18"/>
      <color rgb="FFFF0000"/>
      <name val="B Yekan"/>
      <charset val="178"/>
    </font>
    <font>
      <b/>
      <sz val="10"/>
      <color theme="1"/>
      <name val="Tahoma"/>
      <family val="2"/>
    </font>
    <font>
      <sz val="10"/>
      <color theme="1"/>
      <name val="Tahoma"/>
      <family val="2"/>
    </font>
    <font>
      <b/>
      <sz val="10"/>
      <name val="Tahoma"/>
      <family val="2"/>
    </font>
    <font>
      <b/>
      <sz val="20"/>
      <color theme="0"/>
      <name val="B Yekan"/>
      <charset val="178"/>
    </font>
    <font>
      <b/>
      <sz val="11"/>
      <color theme="1"/>
      <name val="B Yekan"/>
      <charset val="178"/>
      <scheme val="minor"/>
    </font>
    <font>
      <sz val="11"/>
      <color theme="1"/>
      <name val="B Yekan"/>
      <charset val="178"/>
      <scheme val="minor"/>
    </font>
  </fonts>
  <fills count="1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0000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39">
    <xf numFmtId="0" fontId="0" fillId="0" borderId="0" xfId="0"/>
    <xf numFmtId="0" fontId="0" fillId="2" borderId="0" xfId="0" applyFill="1"/>
    <xf numFmtId="0" fontId="4" fillId="5" borderId="0" xfId="0" applyFont="1" applyFill="1" applyAlignment="1">
      <alignment vertical="center"/>
    </xf>
    <xf numFmtId="0" fontId="0" fillId="0" borderId="0" xfId="0" applyAlignment="1">
      <alignment vertical="center"/>
    </xf>
    <xf numFmtId="0" fontId="3" fillId="0" borderId="0" xfId="0" applyNumberFormat="1" applyFont="1" applyAlignment="1">
      <alignment vertical="center"/>
    </xf>
    <xf numFmtId="0" fontId="3" fillId="6" borderId="1" xfId="0" applyNumberFormat="1" applyFont="1" applyFill="1" applyBorder="1" applyAlignment="1">
      <alignment horizontal="left" vertical="center"/>
    </xf>
    <xf numFmtId="0" fontId="3" fillId="6" borderId="7" xfId="0" applyNumberFormat="1" applyFont="1" applyFill="1" applyBorder="1" applyAlignment="1">
      <alignment vertical="center"/>
    </xf>
    <xf numFmtId="0" fontId="3" fillId="6" borderId="3" xfId="0" applyNumberFormat="1" applyFont="1" applyFill="1" applyBorder="1" applyAlignment="1">
      <alignment horizontal="left" vertical="center"/>
    </xf>
    <xf numFmtId="0" fontId="3" fillId="0" borderId="7" xfId="0" applyNumberFormat="1" applyFont="1" applyBorder="1" applyAlignment="1">
      <alignment vertical="center"/>
    </xf>
    <xf numFmtId="164" fontId="3" fillId="0" borderId="7" xfId="1" applyNumberFormat="1" applyFont="1" applyBorder="1" applyAlignment="1">
      <alignment vertical="center"/>
    </xf>
    <xf numFmtId="0" fontId="3" fillId="6" borderId="7"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6" borderId="5" xfId="0" applyNumberFormat="1" applyFont="1" applyFill="1" applyBorder="1" applyAlignment="1">
      <alignment horizontal="left"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2" fillId="2" borderId="7" xfId="0" applyFont="1" applyFill="1" applyBorder="1" applyAlignment="1">
      <alignment vertical="center"/>
    </xf>
    <xf numFmtId="0" fontId="6" fillId="2" borderId="0" xfId="0" applyFont="1" applyFill="1" applyAlignment="1">
      <alignment horizontal="center" vertical="center"/>
    </xf>
    <xf numFmtId="0" fontId="2" fillId="2" borderId="0" xfId="0" applyFont="1" applyFill="1" applyAlignment="1">
      <alignment vertical="center"/>
    </xf>
    <xf numFmtId="0" fontId="8" fillId="2" borderId="13" xfId="0" applyFont="1" applyFill="1" applyBorder="1" applyAlignment="1">
      <alignment horizontal="left" vertical="center"/>
    </xf>
    <xf numFmtId="1" fontId="9" fillId="2" borderId="14" xfId="0" applyNumberFormat="1" applyFont="1" applyFill="1" applyBorder="1" applyAlignment="1">
      <alignment horizontal="center" vertical="center"/>
    </xf>
    <xf numFmtId="9" fontId="6" fillId="2" borderId="0" xfId="0" applyNumberFormat="1" applyFont="1" applyFill="1" applyAlignment="1">
      <alignment horizontal="center" vertical="center"/>
    </xf>
    <xf numFmtId="1" fontId="9" fillId="2" borderId="0" xfId="0" applyNumberFormat="1" applyFont="1" applyFill="1" applyAlignment="1">
      <alignment horizontal="center" vertical="center"/>
    </xf>
    <xf numFmtId="1" fontId="9" fillId="2" borderId="3" xfId="0" applyNumberFormat="1" applyFont="1" applyFill="1" applyBorder="1" applyAlignment="1">
      <alignment horizontal="center" vertical="center"/>
    </xf>
    <xf numFmtId="1" fontId="9" fillId="7" borderId="16" xfId="0" applyNumberFormat="1" applyFont="1" applyFill="1" applyBorder="1" applyAlignment="1">
      <alignment horizontal="center" vertical="center"/>
    </xf>
    <xf numFmtId="1" fontId="9" fillId="7" borderId="7" xfId="0" applyNumberFormat="1" applyFont="1" applyFill="1" applyBorder="1" applyAlignment="1">
      <alignment horizontal="center" vertical="center"/>
    </xf>
    <xf numFmtId="0" fontId="8"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6" xfId="0" applyFont="1" applyFill="1" applyBorder="1" applyAlignment="1">
      <alignment horizontal="center" vertical="center"/>
    </xf>
    <xf numFmtId="166" fontId="9" fillId="2" borderId="16" xfId="0" applyNumberFormat="1" applyFont="1" applyFill="1" applyBorder="1" applyAlignment="1">
      <alignment horizontal="center" vertical="center"/>
    </xf>
    <xf numFmtId="166" fontId="9" fillId="2" borderId="7" xfId="0" applyNumberFormat="1" applyFont="1" applyFill="1" applyBorder="1" applyAlignment="1">
      <alignment horizontal="center" vertical="center"/>
    </xf>
    <xf numFmtId="166" fontId="9" fillId="2" borderId="17" xfId="0" applyNumberFormat="1" applyFont="1" applyFill="1" applyBorder="1" applyAlignment="1">
      <alignment horizontal="center" vertical="center"/>
    </xf>
    <xf numFmtId="0" fontId="6" fillId="2" borderId="18" xfId="0" applyFont="1" applyFill="1" applyBorder="1" applyAlignment="1">
      <alignment horizontal="center" vertical="center"/>
    </xf>
    <xf numFmtId="0" fontId="8" fillId="4" borderId="21" xfId="0" applyFont="1" applyFill="1" applyBorder="1" applyAlignment="1">
      <alignment horizontal="left" vertical="center"/>
    </xf>
    <xf numFmtId="1" fontId="9" fillId="4" borderId="16" xfId="0" applyNumberFormat="1" applyFont="1" applyFill="1" applyBorder="1" applyAlignment="1">
      <alignment horizontal="center" vertical="center"/>
    </xf>
    <xf numFmtId="0" fontId="9" fillId="4" borderId="7" xfId="0" applyFont="1" applyFill="1" applyBorder="1" applyAlignment="1">
      <alignment vertical="center"/>
    </xf>
    <xf numFmtId="0" fontId="2" fillId="4" borderId="7" xfId="0" applyFont="1" applyFill="1" applyBorder="1" applyAlignment="1">
      <alignment vertical="center"/>
    </xf>
    <xf numFmtId="1" fontId="9" fillId="4" borderId="0" xfId="0" applyNumberFormat="1" applyFont="1" applyFill="1" applyAlignment="1">
      <alignment horizontal="center" vertical="center"/>
    </xf>
    <xf numFmtId="1" fontId="9" fillId="4" borderId="3" xfId="0" applyNumberFormat="1" applyFont="1" applyFill="1" applyBorder="1" applyAlignment="1">
      <alignment horizontal="center" vertical="center"/>
    </xf>
    <xf numFmtId="0" fontId="9" fillId="4" borderId="22" xfId="0" applyFont="1" applyFill="1" applyBorder="1" applyAlignment="1">
      <alignment vertical="center"/>
    </xf>
    <xf numFmtId="0" fontId="8" fillId="4" borderId="7" xfId="0" applyFont="1" applyFill="1" applyBorder="1" applyAlignment="1">
      <alignment horizontal="center" vertical="center"/>
    </xf>
    <xf numFmtId="0" fontId="6" fillId="4" borderId="16" xfId="0" applyFont="1" applyFill="1" applyBorder="1" applyAlignment="1">
      <alignment horizontal="center" vertical="center"/>
    </xf>
    <xf numFmtId="166" fontId="9" fillId="4" borderId="16" xfId="0" applyNumberFormat="1" applyFont="1" applyFill="1" applyBorder="1" applyAlignment="1">
      <alignment horizontal="center" vertical="center"/>
    </xf>
    <xf numFmtId="166" fontId="9" fillId="4" borderId="7" xfId="0" applyNumberFormat="1" applyFont="1" applyFill="1" applyBorder="1" applyAlignment="1">
      <alignment horizontal="center" vertical="center"/>
    </xf>
    <xf numFmtId="166" fontId="9" fillId="4" borderId="17" xfId="0" applyNumberFormat="1" applyFont="1" applyFill="1" applyBorder="1" applyAlignment="1">
      <alignment horizontal="center" vertical="center"/>
    </xf>
    <xf numFmtId="0" fontId="8" fillId="2" borderId="21" xfId="0" applyFont="1" applyFill="1" applyBorder="1" applyAlignment="1">
      <alignment horizontal="left" vertical="center"/>
    </xf>
    <xf numFmtId="1" fontId="9" fillId="2" borderId="16"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166" fontId="9" fillId="2" borderId="24" xfId="0" applyNumberFormat="1" applyFont="1" applyFill="1" applyBorder="1" applyAlignment="1">
      <alignment horizontal="center" vertical="center"/>
    </xf>
    <xf numFmtId="166" fontId="9" fillId="2" borderId="25" xfId="0" applyNumberFormat="1" applyFont="1" applyFill="1" applyBorder="1" applyAlignment="1">
      <alignment horizontal="center" vertical="center"/>
    </xf>
    <xf numFmtId="166" fontId="9" fillId="2" borderId="26" xfId="0" applyNumberFormat="1" applyFont="1" applyFill="1" applyBorder="1" applyAlignment="1">
      <alignment horizontal="center" vertical="center"/>
    </xf>
    <xf numFmtId="0" fontId="9" fillId="2" borderId="7" xfId="0" applyFont="1" applyFill="1" applyBorder="1" applyAlignment="1">
      <alignment horizontal="center" vertical="center"/>
    </xf>
    <xf numFmtId="0" fontId="2" fillId="9" borderId="14" xfId="0" applyFont="1" applyFill="1" applyBorder="1" applyAlignment="1">
      <alignment vertical="center"/>
    </xf>
    <xf numFmtId="1" fontId="11" fillId="4" borderId="27" xfId="0" applyNumberFormat="1" applyFont="1" applyFill="1" applyBorder="1" applyAlignment="1">
      <alignment horizontal="center" vertical="center"/>
    </xf>
    <xf numFmtId="166" fontId="6" fillId="4" borderId="15" xfId="0" applyNumberFormat="1" applyFont="1" applyFill="1" applyBorder="1" applyAlignment="1">
      <alignment horizontal="center" vertical="center"/>
    </xf>
    <xf numFmtId="0" fontId="9" fillId="4" borderId="7" xfId="0" applyFont="1" applyFill="1" applyBorder="1" applyAlignment="1">
      <alignment horizontal="center" vertical="center"/>
    </xf>
    <xf numFmtId="0" fontId="8" fillId="9" borderId="7" xfId="0" applyFont="1" applyFill="1" applyBorder="1" applyAlignment="1">
      <alignment horizontal="center" vertical="center"/>
    </xf>
    <xf numFmtId="0" fontId="8" fillId="4" borderId="16" xfId="0" applyFont="1" applyFill="1" applyBorder="1" applyAlignment="1">
      <alignment horizontal="center" vertical="center"/>
    </xf>
    <xf numFmtId="1" fontId="11" fillId="4" borderId="9" xfId="0" applyNumberFormat="1" applyFont="1" applyFill="1" applyBorder="1" applyAlignment="1">
      <alignment horizontal="center" vertical="center"/>
    </xf>
    <xf numFmtId="0" fontId="12" fillId="4" borderId="29" xfId="0" applyFont="1" applyFill="1" applyBorder="1" applyAlignment="1">
      <alignment horizontal="center" vertical="center"/>
    </xf>
    <xf numFmtId="1" fontId="6" fillId="2" borderId="0" xfId="0" applyNumberFormat="1" applyFont="1" applyFill="1" applyAlignment="1">
      <alignment horizontal="center" vertical="center"/>
    </xf>
    <xf numFmtId="0" fontId="9" fillId="3" borderId="7" xfId="0" applyFont="1" applyFill="1" applyBorder="1" applyAlignment="1">
      <alignment horizontal="center" vertical="center"/>
    </xf>
    <xf numFmtId="0" fontId="8" fillId="10" borderId="16" xfId="0" applyFont="1" applyFill="1" applyBorder="1" applyAlignment="1">
      <alignment horizontal="center" vertical="center"/>
    </xf>
    <xf numFmtId="0" fontId="8" fillId="9" borderId="16" xfId="0" applyFont="1" applyFill="1" applyBorder="1" applyAlignment="1">
      <alignment horizontal="center" vertical="center"/>
    </xf>
    <xf numFmtId="1" fontId="12" fillId="4" borderId="29" xfId="0" applyNumberFormat="1" applyFont="1" applyFill="1" applyBorder="1" applyAlignment="1">
      <alignment horizontal="center" vertical="center"/>
    </xf>
    <xf numFmtId="0" fontId="8" fillId="9" borderId="24" xfId="0" applyFont="1" applyFill="1" applyBorder="1" applyAlignment="1">
      <alignment horizontal="center" vertical="center"/>
    </xf>
    <xf numFmtId="1" fontId="11" fillId="4" borderId="30" xfId="0" applyNumberFormat="1" applyFont="1" applyFill="1" applyBorder="1" applyAlignment="1">
      <alignment horizontal="center" vertical="center"/>
    </xf>
    <xf numFmtId="1" fontId="6" fillId="4" borderId="25" xfId="0" applyNumberFormat="1" applyFont="1" applyFill="1" applyBorder="1" applyAlignment="1">
      <alignment horizontal="center" vertical="center"/>
    </xf>
    <xf numFmtId="1" fontId="6" fillId="4" borderId="30" xfId="0"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1" fontId="6" fillId="2" borderId="7" xfId="0" applyNumberFormat="1" applyFont="1" applyFill="1" applyBorder="1" applyAlignment="1">
      <alignment horizontal="center" vertical="center"/>
    </xf>
    <xf numFmtId="165" fontId="6" fillId="4" borderId="7" xfId="0" applyNumberFormat="1" applyFont="1" applyFill="1" applyBorder="1" applyAlignment="1">
      <alignment horizontal="center" vertical="center"/>
    </xf>
    <xf numFmtId="0" fontId="3" fillId="11" borderId="2" xfId="0" applyNumberFormat="1" applyFont="1" applyFill="1" applyBorder="1" applyAlignment="1">
      <alignment horizontal="center" vertical="center"/>
    </xf>
    <xf numFmtId="0" fontId="3" fillId="11" borderId="4" xfId="0" applyNumberFormat="1" applyFont="1" applyFill="1" applyBorder="1" applyAlignment="1">
      <alignment horizontal="center" vertical="center"/>
    </xf>
    <xf numFmtId="165" fontId="3" fillId="11" borderId="4" xfId="0" applyNumberFormat="1" applyFont="1" applyFill="1" applyBorder="1" applyAlignment="1">
      <alignment horizontal="center" vertical="center"/>
    </xf>
    <xf numFmtId="1" fontId="3" fillId="11" borderId="4" xfId="0" applyNumberFormat="1" applyFont="1" applyFill="1" applyBorder="1" applyAlignment="1">
      <alignment horizontal="center" vertical="center"/>
    </xf>
    <xf numFmtId="1" fontId="3" fillId="11" borderId="6" xfId="0" applyNumberFormat="1" applyFont="1" applyFill="1" applyBorder="1" applyAlignment="1">
      <alignment horizontal="center" vertical="center"/>
    </xf>
    <xf numFmtId="0" fontId="3" fillId="11" borderId="7" xfId="0" applyNumberFormat="1" applyFont="1" applyFill="1" applyBorder="1" applyAlignment="1">
      <alignment vertical="center"/>
    </xf>
    <xf numFmtId="164" fontId="3" fillId="11" borderId="7" xfId="1" applyNumberFormat="1" applyFont="1" applyFill="1" applyBorder="1" applyAlignment="1">
      <alignment vertical="center"/>
    </xf>
    <xf numFmtId="0" fontId="3" fillId="11" borderId="7" xfId="0" applyNumberFormat="1" applyFont="1" applyFill="1" applyBorder="1" applyAlignment="1">
      <alignment horizontal="center" vertical="center"/>
    </xf>
    <xf numFmtId="164" fontId="6" fillId="4" borderId="7" xfId="1" applyNumberFormat="1" applyFont="1" applyFill="1" applyBorder="1" applyAlignment="1">
      <alignment horizontal="center" vertical="center"/>
    </xf>
    <xf numFmtId="0" fontId="15" fillId="4" borderId="0" xfId="0" applyFont="1" applyFill="1" applyAlignment="1">
      <alignment horizontal="center" vertical="center"/>
    </xf>
    <xf numFmtId="0" fontId="15" fillId="4" borderId="7" xfId="0" applyFont="1" applyFill="1" applyBorder="1" applyAlignment="1">
      <alignment horizontal="left" vertical="center"/>
    </xf>
    <xf numFmtId="3" fontId="15" fillId="4" borderId="7" xfId="0" applyNumberFormat="1" applyFont="1" applyFill="1" applyBorder="1" applyAlignment="1">
      <alignment horizontal="left" vertical="center"/>
    </xf>
    <xf numFmtId="3" fontId="15" fillId="10" borderId="7" xfId="0" applyNumberFormat="1" applyFont="1" applyFill="1" applyBorder="1" applyAlignment="1">
      <alignment horizontal="left" vertical="center"/>
    </xf>
    <xf numFmtId="2" fontId="3" fillId="0" borderId="7" xfId="0" applyNumberFormat="1" applyFont="1" applyBorder="1" applyAlignment="1">
      <alignment vertical="center"/>
    </xf>
    <xf numFmtId="1" fontId="3" fillId="0" borderId="7" xfId="0" applyNumberFormat="1" applyFont="1" applyBorder="1" applyAlignment="1">
      <alignment vertical="center"/>
    </xf>
    <xf numFmtId="0" fontId="3" fillId="4" borderId="7" xfId="0" applyNumberFormat="1" applyFont="1" applyFill="1" applyBorder="1" applyAlignment="1">
      <alignment vertical="center"/>
    </xf>
    <xf numFmtId="3" fontId="3" fillId="4" borderId="7" xfId="0" applyNumberFormat="1" applyFont="1" applyFill="1" applyBorder="1" applyAlignment="1">
      <alignment vertical="center"/>
    </xf>
    <xf numFmtId="0" fontId="0" fillId="12" borderId="0" xfId="0" applyFill="1"/>
    <xf numFmtId="0" fontId="15" fillId="12" borderId="0" xfId="0" applyFont="1" applyFill="1" applyAlignment="1">
      <alignment horizontal="left" vertical="center"/>
    </xf>
    <xf numFmtId="3" fontId="15" fillId="12" borderId="0" xfId="0" applyNumberFormat="1" applyFont="1" applyFill="1" applyAlignment="1">
      <alignment horizontal="left" vertical="center"/>
    </xf>
    <xf numFmtId="0" fontId="3" fillId="12" borderId="0" xfId="0" applyNumberFormat="1" applyFont="1" applyFill="1" applyAlignment="1">
      <alignment vertical="center"/>
    </xf>
    <xf numFmtId="164" fontId="3" fillId="10" borderId="7" xfId="1" applyNumberFormat="1" applyFont="1" applyFill="1" applyBorder="1" applyAlignment="1">
      <alignment vertical="center"/>
    </xf>
    <xf numFmtId="0" fontId="16" fillId="4" borderId="7" xfId="0" applyFont="1" applyFill="1" applyBorder="1" applyAlignment="1">
      <alignment horizontal="center" vertical="center"/>
    </xf>
    <xf numFmtId="0" fontId="14" fillId="4" borderId="7" xfId="0" applyFont="1" applyFill="1" applyBorder="1" applyAlignment="1">
      <alignment horizontal="left" vertical="center"/>
    </xf>
    <xf numFmtId="2" fontId="9" fillId="4" borderId="7" xfId="0" applyNumberFormat="1" applyFont="1" applyFill="1" applyBorder="1" applyAlignment="1">
      <alignment horizontal="center" vertical="center"/>
    </xf>
    <xf numFmtId="164" fontId="9" fillId="4" borderId="7" xfId="1" applyNumberFormat="1" applyFont="1" applyFill="1" applyBorder="1" applyAlignment="1">
      <alignment horizontal="center" vertical="center"/>
    </xf>
    <xf numFmtId="167" fontId="6" fillId="2" borderId="0" xfId="0" applyNumberFormat="1" applyFont="1" applyFill="1" applyAlignment="1">
      <alignment horizontal="center" vertical="center"/>
    </xf>
    <xf numFmtId="1" fontId="6" fillId="2" borderId="11" xfId="0" applyNumberFormat="1" applyFont="1" applyFill="1" applyBorder="1" applyAlignment="1">
      <alignment horizontal="center" vertical="center"/>
    </xf>
    <xf numFmtId="1" fontId="6" fillId="2" borderId="18" xfId="0" applyNumberFormat="1" applyFont="1" applyFill="1" applyBorder="1" applyAlignment="1">
      <alignment horizontal="center" vertical="center"/>
    </xf>
    <xf numFmtId="0" fontId="6" fillId="4" borderId="9" xfId="0" applyFont="1" applyFill="1" applyBorder="1" applyAlignment="1">
      <alignment horizontal="center" vertical="center"/>
    </xf>
    <xf numFmtId="43" fontId="9" fillId="4" borderId="7" xfId="1" applyNumberFormat="1" applyFont="1" applyFill="1" applyBorder="1" applyAlignment="1">
      <alignment horizontal="center" vertical="center"/>
    </xf>
    <xf numFmtId="164" fontId="10" fillId="8" borderId="8" xfId="1" applyNumberFormat="1" applyFont="1" applyFill="1" applyBorder="1" applyAlignment="1">
      <alignment horizontal="center" vertical="center"/>
    </xf>
    <xf numFmtId="164" fontId="3" fillId="0" borderId="0" xfId="1" applyNumberFormat="1" applyFont="1" applyBorder="1" applyAlignment="1">
      <alignment vertical="center"/>
    </xf>
    <xf numFmtId="0" fontId="8" fillId="2" borderId="9" xfId="0" applyFont="1" applyFill="1" applyBorder="1" applyAlignment="1">
      <alignment horizontal="center" vertical="center"/>
    </xf>
    <xf numFmtId="164" fontId="6" fillId="4" borderId="9" xfId="1" applyNumberFormat="1" applyFont="1" applyFill="1" applyBorder="1" applyAlignment="1">
      <alignment horizontal="center" vertical="center"/>
    </xf>
    <xf numFmtId="164" fontId="13" fillId="4" borderId="29" xfId="1" applyNumberFormat="1" applyFont="1" applyFill="1" applyBorder="1" applyAlignment="1">
      <alignment horizontal="center" vertical="center"/>
    </xf>
    <xf numFmtId="166" fontId="6" fillId="4" borderId="28" xfId="0" applyNumberFormat="1" applyFont="1" applyFill="1" applyBorder="1" applyAlignment="1">
      <alignment horizontal="center" vertical="center"/>
    </xf>
    <xf numFmtId="2" fontId="11" fillId="3" borderId="9" xfId="0" applyNumberFormat="1" applyFont="1" applyFill="1" applyBorder="1" applyAlignment="1">
      <alignment horizontal="center" vertical="center"/>
    </xf>
    <xf numFmtId="1" fontId="11" fillId="3" borderId="9" xfId="0" applyNumberFormat="1" applyFont="1" applyFill="1" applyBorder="1" applyAlignment="1">
      <alignment horizontal="center" vertical="center"/>
    </xf>
    <xf numFmtId="1" fontId="11" fillId="9" borderId="9" xfId="0" applyNumberFormat="1" applyFont="1" applyFill="1" applyBorder="1" applyAlignment="1">
      <alignment horizontal="center" vertical="center"/>
    </xf>
    <xf numFmtId="167" fontId="9" fillId="4" borderId="7" xfId="0" applyNumberFormat="1" applyFont="1" applyFill="1" applyBorder="1" applyAlignment="1">
      <alignment horizontal="center" vertical="center"/>
    </xf>
    <xf numFmtId="164" fontId="0" fillId="4" borderId="7" xfId="1" applyNumberFormat="1" applyFont="1" applyFill="1" applyBorder="1"/>
    <xf numFmtId="167" fontId="0" fillId="4" borderId="7" xfId="0" applyNumberFormat="1" applyFill="1" applyBorder="1"/>
    <xf numFmtId="0" fontId="18" fillId="14" borderId="7" xfId="0" applyFont="1" applyFill="1" applyBorder="1"/>
    <xf numFmtId="0" fontId="19" fillId="14" borderId="7" xfId="0" applyFont="1" applyFill="1" applyBorder="1"/>
    <xf numFmtId="164" fontId="19" fillId="14" borderId="7" xfId="1" applyNumberFormat="1" applyFont="1" applyFill="1" applyBorder="1"/>
    <xf numFmtId="0" fontId="9" fillId="2" borderId="0" xfId="0" applyFont="1" applyFill="1" applyAlignment="1">
      <alignment horizontal="center" vertical="center"/>
    </xf>
    <xf numFmtId="0" fontId="3" fillId="0" borderId="0" xfId="0" applyNumberFormat="1" applyFont="1" applyAlignment="1">
      <alignment horizontal="right" vertical="center" wrapText="1" readingOrder="2"/>
    </xf>
    <xf numFmtId="0" fontId="5" fillId="5" borderId="0" xfId="0" applyFont="1" applyFill="1" applyAlignment="1">
      <alignment horizontal="center" vertical="center" readingOrder="2"/>
    </xf>
    <xf numFmtId="0" fontId="14" fillId="4" borderId="0" xfId="0" applyFont="1" applyFill="1" applyAlignment="1">
      <alignment horizontal="center" vertical="center"/>
    </xf>
    <xf numFmtId="0" fontId="14" fillId="4" borderId="7" xfId="0" applyFont="1" applyFill="1" applyBorder="1" applyAlignment="1">
      <alignment horizontal="center" vertical="center"/>
    </xf>
    <xf numFmtId="0" fontId="17" fillId="13" borderId="22" xfId="0" applyFont="1" applyFill="1" applyBorder="1" applyAlignment="1">
      <alignment horizontal="center" vertical="center"/>
    </xf>
    <xf numFmtId="0" fontId="17" fillId="13" borderId="32" xfId="0" applyFont="1" applyFill="1" applyBorder="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9"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7" fillId="4" borderId="7" xfId="0"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0" fillId="14" borderId="0" xfId="0" applyFill="1" applyAlignment="1">
      <alignment horizontal="right" vertical="top" wrapText="1" readingOrder="2"/>
    </xf>
    <xf numFmtId="0" fontId="0" fillId="15" borderId="0" xfId="0" applyFill="1" applyAlignment="1">
      <alignment horizontal="center" vertical="center"/>
    </xf>
  </cellXfs>
  <cellStyles count="2">
    <cellStyle name="Comma" xfId="1" builtinId="3"/>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EEB9"/>
        </patternFill>
      </fill>
    </dxf>
    <dxf>
      <fill>
        <patternFill>
          <bgColor rgb="FFFFEEB9"/>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EEB9"/>
        </patternFill>
      </fill>
    </dxf>
    <dxf>
      <fill>
        <patternFill>
          <bgColor rgb="FFFFEEB9"/>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EEB9"/>
        </patternFill>
      </fill>
    </dxf>
    <dxf>
      <fill>
        <patternFill>
          <bgColor rgb="FFFFEEB9"/>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EEB9"/>
        </patternFill>
      </fill>
    </dxf>
    <dxf>
      <fill>
        <patternFill>
          <bgColor rgb="FFFFEEB9"/>
        </patternFill>
      </fill>
    </dxf>
    <dxf>
      <fill>
        <patternFill>
          <bgColor theme="9" tint="0.39994506668294322"/>
        </patternFill>
      </fill>
    </dxf>
    <dxf>
      <font>
        <color rgb="FF9C0006"/>
      </font>
      <fill>
        <patternFill>
          <bgColor rgb="FFFFC7CE"/>
        </patternFill>
      </fill>
    </dxf>
  </dxfs>
  <tableStyles count="0" defaultTableStyle="TableStyleMedium2" defaultPivotStyle="PivotStyleLight16"/>
  <colors>
    <mruColors>
      <color rgb="FFFFEEB9"/>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hyperlink" Target="#Result!A1"/><Relationship Id="rId3" Type="http://schemas.openxmlformats.org/officeDocument/2006/relationships/hyperlink" Target="#'DATA 2'!A1"/><Relationship Id="rId7" Type="http://schemas.openxmlformats.org/officeDocument/2006/relationships/hyperlink" Target="#'MPS with_Slover'!A1"/><Relationship Id="rId2" Type="http://schemas.openxmlformats.org/officeDocument/2006/relationships/hyperlink" Target="#DATA!A1"/><Relationship Id="rId1" Type="http://schemas.openxmlformats.org/officeDocument/2006/relationships/image" Target="../media/image1.png"/><Relationship Id="rId6" Type="http://schemas.openxmlformats.org/officeDocument/2006/relationships/hyperlink" Target="#'MPS minPOH'!A1"/><Relationship Id="rId5" Type="http://schemas.openxmlformats.org/officeDocument/2006/relationships/hyperlink" Target="#'MPS minCO'!A1"/><Relationship Id="rId4" Type="http://schemas.openxmlformats.org/officeDocument/2006/relationships/hyperlink" Target="#'MPS incubment'!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323849</xdr:colOff>
      <xdr:row>2</xdr:row>
      <xdr:rowOff>28575</xdr:rowOff>
    </xdr:from>
    <xdr:to>
      <xdr:col>7</xdr:col>
      <xdr:colOff>142875</xdr:colOff>
      <xdr:row>21</xdr:row>
      <xdr:rowOff>170178</xdr:rowOff>
    </xdr:to>
    <xdr:pic>
      <xdr:nvPicPr>
        <xdr:cNvPr id="2" name="Picture 1">
          <a:extLst>
            <a:ext uri="{FF2B5EF4-FFF2-40B4-BE49-F238E27FC236}">
              <a16:creationId xmlns:a16="http://schemas.microsoft.com/office/drawing/2014/main" id="{55FEF27D-DD34-4122-BFDF-5B44791DFC49}"/>
            </a:ext>
          </a:extLst>
        </xdr:cNvPr>
        <xdr:cNvPicPr>
          <a:picLocks noChangeAspect="1"/>
        </xdr:cNvPicPr>
      </xdr:nvPicPr>
      <xdr:blipFill rotWithShape="1">
        <a:blip xmlns:r="http://schemas.openxmlformats.org/officeDocument/2006/relationships" r:embed="rId1">
          <a:clrChange>
            <a:clrFrom>
              <a:srgbClr val="F8F9FA"/>
            </a:clrFrom>
            <a:clrTo>
              <a:srgbClr val="F8F9FA">
                <a:alpha val="0"/>
              </a:srgbClr>
            </a:clrTo>
          </a:clrChange>
          <a:extLst>
            <a:ext uri="{28A0092B-C50C-407E-A947-70E740481C1C}">
              <a14:useLocalDpi xmlns:a14="http://schemas.microsoft.com/office/drawing/2010/main" val="0"/>
            </a:ext>
          </a:extLst>
        </a:blip>
        <a:srcRect l="34682" r="30882"/>
        <a:stretch/>
      </xdr:blipFill>
      <xdr:spPr>
        <a:xfrm>
          <a:off x="323849" y="390525"/>
          <a:ext cx="4619626" cy="3580128"/>
        </a:xfrm>
        <a:prstGeom prst="rect">
          <a:avLst/>
        </a:prstGeom>
      </xdr:spPr>
    </xdr:pic>
    <xdr:clientData/>
  </xdr:twoCellAnchor>
  <xdr:twoCellAnchor>
    <xdr:from>
      <xdr:col>8</xdr:col>
      <xdr:colOff>28576</xdr:colOff>
      <xdr:row>5</xdr:row>
      <xdr:rowOff>152400</xdr:rowOff>
    </xdr:from>
    <xdr:to>
      <xdr:col>15</xdr:col>
      <xdr:colOff>1</xdr:colOff>
      <xdr:row>14</xdr:row>
      <xdr:rowOff>123825</xdr:rowOff>
    </xdr:to>
    <xdr:sp macro="" textlink="">
      <xdr:nvSpPr>
        <xdr:cNvPr id="3" name="TextBox 2">
          <a:extLst>
            <a:ext uri="{FF2B5EF4-FFF2-40B4-BE49-F238E27FC236}">
              <a16:creationId xmlns:a16="http://schemas.microsoft.com/office/drawing/2014/main" id="{341AF85C-EF53-450E-8250-C8290276814E}"/>
            </a:ext>
          </a:extLst>
        </xdr:cNvPr>
        <xdr:cNvSpPr txBox="1"/>
      </xdr:nvSpPr>
      <xdr:spPr>
        <a:xfrm flipH="1">
          <a:off x="11225860199" y="1057275"/>
          <a:ext cx="4772025" cy="160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fa-IR" sz="2400">
              <a:solidFill>
                <a:schemeClr val="accent6">
                  <a:lumMod val="75000"/>
                </a:schemeClr>
              </a:solidFill>
            </a:rPr>
            <a:t>برنامه‌ریزی</a:t>
          </a:r>
          <a:r>
            <a:rPr lang="fa-IR" sz="2400" baseline="0">
              <a:solidFill>
                <a:schemeClr val="accent6">
                  <a:lumMod val="75000"/>
                </a:schemeClr>
              </a:solidFill>
            </a:rPr>
            <a:t> تولید </a:t>
          </a:r>
          <a:r>
            <a:rPr lang="en-US" sz="2400" baseline="0">
              <a:solidFill>
                <a:schemeClr val="accent6">
                  <a:lumMod val="75000"/>
                </a:schemeClr>
              </a:solidFill>
            </a:rPr>
            <a:t> </a:t>
          </a:r>
          <a:r>
            <a:rPr lang="en-US" sz="1100">
              <a:solidFill>
                <a:schemeClr val="dk1"/>
              </a:solidFill>
              <a:effectLst/>
              <a:latin typeface="+mn-lt"/>
              <a:ea typeface="+mn-ea"/>
              <a:cs typeface="+mn-cs"/>
            </a:rPr>
            <a:t> </a:t>
          </a:r>
          <a:r>
            <a:rPr lang="en-US" sz="2400" baseline="0">
              <a:solidFill>
                <a:schemeClr val="accent6">
                  <a:lumMod val="75000"/>
                </a:schemeClr>
              </a:solidFill>
              <a:latin typeface="+mn-lt"/>
              <a:ea typeface="+mn-ea"/>
              <a:cs typeface="+mn-cs"/>
            </a:rPr>
            <a:t>3992</a:t>
          </a:r>
          <a:r>
            <a:rPr lang="en-US" sz="1100">
              <a:solidFill>
                <a:schemeClr val="dk1"/>
              </a:solidFill>
              <a:effectLst/>
              <a:latin typeface="+mn-lt"/>
              <a:ea typeface="+mn-ea"/>
              <a:cs typeface="+mn-cs"/>
            </a:rPr>
            <a:t> </a:t>
          </a:r>
          <a:endParaRPr lang="en-US" sz="2400">
            <a:solidFill>
              <a:schemeClr val="accent6">
                <a:lumMod val="75000"/>
              </a:schemeClr>
            </a:solidFill>
          </a:endParaRPr>
        </a:p>
        <a:p>
          <a:pPr algn="r" rtl="1"/>
          <a:r>
            <a:rPr lang="fa-IR" sz="1600">
              <a:solidFill>
                <a:schemeClr val="accent6">
                  <a:lumMod val="75000"/>
                </a:schemeClr>
              </a:solidFill>
            </a:rPr>
            <a:t>سربرنامۀ</a:t>
          </a:r>
          <a:r>
            <a:rPr lang="fa-IR" sz="1600" baseline="0">
              <a:solidFill>
                <a:schemeClr val="accent6">
                  <a:lumMod val="75000"/>
                </a:schemeClr>
              </a:solidFill>
            </a:rPr>
            <a:t> تولید (</a:t>
          </a:r>
          <a:r>
            <a:rPr lang="en-US" sz="1600" baseline="0">
              <a:solidFill>
                <a:schemeClr val="accent6">
                  <a:lumMod val="75000"/>
                </a:schemeClr>
              </a:solidFill>
            </a:rPr>
            <a:t>MPS</a:t>
          </a:r>
          <a:r>
            <a:rPr lang="fa-IR" sz="1600" baseline="0">
              <a:solidFill>
                <a:schemeClr val="accent6">
                  <a:lumMod val="75000"/>
                </a:schemeClr>
              </a:solidFill>
            </a:rPr>
            <a:t>)</a:t>
          </a:r>
          <a:endParaRPr lang="en-US" sz="2400">
            <a:solidFill>
              <a:schemeClr val="accent6">
                <a:lumMod val="75000"/>
              </a:schemeClr>
            </a:solidFill>
          </a:endParaRPr>
        </a:p>
        <a:p>
          <a:pPr algn="r" rtl="1"/>
          <a:r>
            <a:rPr lang="en-US" sz="2400">
              <a:solidFill>
                <a:schemeClr val="accent6">
                  <a:lumMod val="75000"/>
                </a:schemeClr>
              </a:solidFill>
            </a:rPr>
            <a:t>-------</a:t>
          </a:r>
        </a:p>
        <a:p>
          <a:pPr algn="r" rtl="1"/>
          <a:r>
            <a:rPr lang="fa-IR" sz="1400" b="0" baseline="0">
              <a:solidFill>
                <a:sysClr val="windowText" lastClr="000000"/>
              </a:solidFill>
            </a:rPr>
            <a:t>میلاد مالکی، علی جویافر</a:t>
          </a:r>
          <a:endParaRPr lang="fa-IR" sz="1400" b="0">
            <a:solidFill>
              <a:sysClr val="windowText" lastClr="000000"/>
            </a:solidFill>
          </a:endParaRPr>
        </a:p>
      </xdr:txBody>
    </xdr:sp>
    <xdr:clientData/>
  </xdr:twoCellAnchor>
  <xdr:twoCellAnchor>
    <xdr:from>
      <xdr:col>8</xdr:col>
      <xdr:colOff>95249</xdr:colOff>
      <xdr:row>15</xdr:row>
      <xdr:rowOff>77787</xdr:rowOff>
    </xdr:from>
    <xdr:to>
      <xdr:col>11</xdr:col>
      <xdr:colOff>228601</xdr:colOff>
      <xdr:row>17</xdr:row>
      <xdr:rowOff>49212</xdr:rowOff>
    </xdr:to>
    <xdr:sp macro="" textlink="">
      <xdr:nvSpPr>
        <xdr:cNvPr id="4" name="Rectangle: Rounded Corners 3">
          <a:extLst>
            <a:ext uri="{FF2B5EF4-FFF2-40B4-BE49-F238E27FC236}">
              <a16:creationId xmlns:a16="http://schemas.microsoft.com/office/drawing/2014/main" id="{AE25996A-8366-494C-8C27-62B076720F4C}"/>
            </a:ext>
          </a:extLst>
        </xdr:cNvPr>
        <xdr:cNvSpPr/>
      </xdr:nvSpPr>
      <xdr:spPr>
        <a:xfrm flipH="1">
          <a:off x="11191680017" y="2767199"/>
          <a:ext cx="2184028" cy="330013"/>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ctr" rtl="1"/>
          <a:r>
            <a:rPr lang="fa-IR" sz="1100"/>
            <a:t>بخش</a:t>
          </a:r>
          <a:r>
            <a:rPr lang="fa-IR" sz="1100" baseline="0"/>
            <a:t> اول داده ها</a:t>
          </a:r>
        </a:p>
      </xdr:txBody>
    </xdr:sp>
    <xdr:clientData/>
  </xdr:twoCellAnchor>
  <xdr:twoCellAnchor>
    <xdr:from>
      <xdr:col>11</xdr:col>
      <xdr:colOff>296116</xdr:colOff>
      <xdr:row>15</xdr:row>
      <xdr:rowOff>123828</xdr:rowOff>
    </xdr:from>
    <xdr:to>
      <xdr:col>11</xdr:col>
      <xdr:colOff>443753</xdr:colOff>
      <xdr:row>17</xdr:row>
      <xdr:rowOff>23815</xdr:rowOff>
    </xdr:to>
    <xdr:sp macro="" textlink="">
      <xdr:nvSpPr>
        <xdr:cNvPr id="10" name="Isosceles Triangle 9">
          <a:hlinkClick xmlns:r="http://schemas.openxmlformats.org/officeDocument/2006/relationships" r:id="rId2"/>
          <a:extLst>
            <a:ext uri="{FF2B5EF4-FFF2-40B4-BE49-F238E27FC236}">
              <a16:creationId xmlns:a16="http://schemas.microsoft.com/office/drawing/2014/main" id="{C6A5EE41-B6DB-48C2-A036-15E8C11C3485}"/>
            </a:ext>
          </a:extLst>
        </xdr:cNvPr>
        <xdr:cNvSpPr/>
      </xdr:nvSpPr>
      <xdr:spPr>
        <a:xfrm rot="16200000">
          <a:off x="11191409396" y="2868709"/>
          <a:ext cx="258575" cy="14763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a:p>
      </xdr:txBody>
    </xdr:sp>
    <xdr:clientData/>
  </xdr:twoCellAnchor>
  <xdr:twoCellAnchor>
    <xdr:from>
      <xdr:col>8</xdr:col>
      <xdr:colOff>95249</xdr:colOff>
      <xdr:row>17</xdr:row>
      <xdr:rowOff>82911</xdr:rowOff>
    </xdr:from>
    <xdr:to>
      <xdr:col>11</xdr:col>
      <xdr:colOff>228601</xdr:colOff>
      <xdr:row>19</xdr:row>
      <xdr:rowOff>54336</xdr:rowOff>
    </xdr:to>
    <xdr:sp macro="" textlink="">
      <xdr:nvSpPr>
        <xdr:cNvPr id="6" name="Rectangle: Rounded Corners 5">
          <a:extLst>
            <a:ext uri="{FF2B5EF4-FFF2-40B4-BE49-F238E27FC236}">
              <a16:creationId xmlns:a16="http://schemas.microsoft.com/office/drawing/2014/main" id="{BE10CFC4-272A-482D-88E1-76F4C382E609}"/>
            </a:ext>
          </a:extLst>
        </xdr:cNvPr>
        <xdr:cNvSpPr/>
      </xdr:nvSpPr>
      <xdr:spPr>
        <a:xfrm flipH="1">
          <a:off x="11191680017" y="3130911"/>
          <a:ext cx="2184028" cy="330013"/>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ctr" rtl="1"/>
          <a:r>
            <a:rPr lang="fa-IR" sz="1100"/>
            <a:t>بخش</a:t>
          </a:r>
          <a:r>
            <a:rPr lang="fa-IR" sz="1100" baseline="0"/>
            <a:t> دوم داده ها</a:t>
          </a:r>
        </a:p>
      </xdr:txBody>
    </xdr:sp>
    <xdr:clientData/>
  </xdr:twoCellAnchor>
  <xdr:twoCellAnchor>
    <xdr:from>
      <xdr:col>8</xdr:col>
      <xdr:colOff>95249</xdr:colOff>
      <xdr:row>19</xdr:row>
      <xdr:rowOff>88035</xdr:rowOff>
    </xdr:from>
    <xdr:to>
      <xdr:col>11</xdr:col>
      <xdr:colOff>228601</xdr:colOff>
      <xdr:row>21</xdr:row>
      <xdr:rowOff>59460</xdr:rowOff>
    </xdr:to>
    <xdr:sp macro="" textlink="">
      <xdr:nvSpPr>
        <xdr:cNvPr id="7" name="Rectangle: Rounded Corners 6">
          <a:extLst>
            <a:ext uri="{FF2B5EF4-FFF2-40B4-BE49-F238E27FC236}">
              <a16:creationId xmlns:a16="http://schemas.microsoft.com/office/drawing/2014/main" id="{A0E510B1-0B1C-41AE-B4A8-14F04AE34FD4}"/>
            </a:ext>
          </a:extLst>
        </xdr:cNvPr>
        <xdr:cNvSpPr/>
      </xdr:nvSpPr>
      <xdr:spPr>
        <a:xfrm flipH="1">
          <a:off x="11191680017" y="3494623"/>
          <a:ext cx="2184028" cy="33001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ctr" rtl="1"/>
          <a:r>
            <a:rPr lang="en-US" sz="1100"/>
            <a:t>MPS</a:t>
          </a:r>
          <a:r>
            <a:rPr lang="fa-IR" sz="1100" baseline="0"/>
            <a:t> اوليه</a:t>
          </a:r>
        </a:p>
      </xdr:txBody>
    </xdr:sp>
    <xdr:clientData/>
  </xdr:twoCellAnchor>
  <xdr:twoCellAnchor>
    <xdr:from>
      <xdr:col>8</xdr:col>
      <xdr:colOff>95249</xdr:colOff>
      <xdr:row>21</xdr:row>
      <xdr:rowOff>93159</xdr:rowOff>
    </xdr:from>
    <xdr:to>
      <xdr:col>11</xdr:col>
      <xdr:colOff>228601</xdr:colOff>
      <xdr:row>23</xdr:row>
      <xdr:rowOff>64583</xdr:rowOff>
    </xdr:to>
    <xdr:sp macro="" textlink="">
      <xdr:nvSpPr>
        <xdr:cNvPr id="8" name="Rectangle: Rounded Corners 7">
          <a:extLst>
            <a:ext uri="{FF2B5EF4-FFF2-40B4-BE49-F238E27FC236}">
              <a16:creationId xmlns:a16="http://schemas.microsoft.com/office/drawing/2014/main" id="{BCAFA97F-C004-49BC-B1FE-EEEBD8A69C64}"/>
            </a:ext>
          </a:extLst>
        </xdr:cNvPr>
        <xdr:cNvSpPr/>
      </xdr:nvSpPr>
      <xdr:spPr>
        <a:xfrm flipH="1">
          <a:off x="11191680017" y="3858335"/>
          <a:ext cx="2184028" cy="33001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en-US" sz="1100">
              <a:solidFill>
                <a:schemeClr val="lt1"/>
              </a:solidFill>
              <a:effectLst/>
              <a:latin typeface="+mn-lt"/>
              <a:ea typeface="+mn-ea"/>
              <a:cs typeface="+mn-cs"/>
            </a:rPr>
            <a:t>MPS</a:t>
          </a:r>
          <a:r>
            <a:rPr lang="fa-IR" sz="1100" baseline="0">
              <a:solidFill>
                <a:schemeClr val="lt1"/>
              </a:solidFill>
              <a:effectLst/>
              <a:latin typeface="+mn-lt"/>
              <a:ea typeface="+mn-ea"/>
              <a:cs typeface="+mn-cs"/>
            </a:rPr>
            <a:t> کمترين چنج اور</a:t>
          </a:r>
        </a:p>
      </xdr:txBody>
    </xdr:sp>
    <xdr:clientData/>
  </xdr:twoCellAnchor>
  <xdr:twoCellAnchor>
    <xdr:from>
      <xdr:col>8</xdr:col>
      <xdr:colOff>95249</xdr:colOff>
      <xdr:row>23</xdr:row>
      <xdr:rowOff>98282</xdr:rowOff>
    </xdr:from>
    <xdr:to>
      <xdr:col>11</xdr:col>
      <xdr:colOff>228601</xdr:colOff>
      <xdr:row>25</xdr:row>
      <xdr:rowOff>69707</xdr:rowOff>
    </xdr:to>
    <xdr:sp macro="" textlink="">
      <xdr:nvSpPr>
        <xdr:cNvPr id="9" name="Rectangle: Rounded Corners 8">
          <a:extLst>
            <a:ext uri="{FF2B5EF4-FFF2-40B4-BE49-F238E27FC236}">
              <a16:creationId xmlns:a16="http://schemas.microsoft.com/office/drawing/2014/main" id="{02C5A022-372B-407A-9C15-5736EB520C68}"/>
            </a:ext>
          </a:extLst>
        </xdr:cNvPr>
        <xdr:cNvSpPr/>
      </xdr:nvSpPr>
      <xdr:spPr>
        <a:xfrm flipH="1">
          <a:off x="11191680017" y="4222047"/>
          <a:ext cx="2184028" cy="33001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en-US" sz="1100">
              <a:solidFill>
                <a:schemeClr val="lt1"/>
              </a:solidFill>
              <a:effectLst/>
              <a:latin typeface="+mn-lt"/>
              <a:ea typeface="+mn-ea"/>
              <a:cs typeface="+mn-cs"/>
            </a:rPr>
            <a:t>MPS</a:t>
          </a:r>
          <a:r>
            <a:rPr lang="fa-IR" sz="1100" baseline="0">
              <a:solidFill>
                <a:schemeClr val="lt1"/>
              </a:solidFill>
              <a:effectLst/>
              <a:latin typeface="+mn-lt"/>
              <a:ea typeface="+mn-ea"/>
              <a:cs typeface="+mn-cs"/>
            </a:rPr>
            <a:t> کمترين موجودي</a:t>
          </a:r>
          <a:endParaRPr lang="fa-IR">
            <a:effectLst/>
          </a:endParaRPr>
        </a:p>
      </xdr:txBody>
    </xdr:sp>
    <xdr:clientData/>
  </xdr:twoCellAnchor>
  <xdr:twoCellAnchor>
    <xdr:from>
      <xdr:col>8</xdr:col>
      <xdr:colOff>95249</xdr:colOff>
      <xdr:row>25</xdr:row>
      <xdr:rowOff>103406</xdr:rowOff>
    </xdr:from>
    <xdr:to>
      <xdr:col>11</xdr:col>
      <xdr:colOff>228601</xdr:colOff>
      <xdr:row>27</xdr:row>
      <xdr:rowOff>74831</xdr:rowOff>
    </xdr:to>
    <xdr:sp macro="" textlink="">
      <xdr:nvSpPr>
        <xdr:cNvPr id="11" name="Rectangle: Rounded Corners 10">
          <a:extLst>
            <a:ext uri="{FF2B5EF4-FFF2-40B4-BE49-F238E27FC236}">
              <a16:creationId xmlns:a16="http://schemas.microsoft.com/office/drawing/2014/main" id="{6190F967-EC5C-4627-8B1C-C3CB8F1696B8}"/>
            </a:ext>
          </a:extLst>
        </xdr:cNvPr>
        <xdr:cNvSpPr/>
      </xdr:nvSpPr>
      <xdr:spPr>
        <a:xfrm flipH="1">
          <a:off x="11191680017" y="4585759"/>
          <a:ext cx="2184028" cy="33001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en-US" sz="1100">
              <a:solidFill>
                <a:schemeClr val="lt1"/>
              </a:solidFill>
              <a:effectLst/>
              <a:latin typeface="+mn-lt"/>
              <a:ea typeface="+mn-ea"/>
              <a:cs typeface="+mn-cs"/>
            </a:rPr>
            <a:t>MPS</a:t>
          </a:r>
          <a:r>
            <a:rPr lang="fa-IR" sz="1100" baseline="0">
              <a:solidFill>
                <a:schemeClr val="lt1"/>
              </a:solidFill>
              <a:effectLst/>
              <a:latin typeface="+mn-lt"/>
              <a:ea typeface="+mn-ea"/>
              <a:cs typeface="+mn-cs"/>
            </a:rPr>
            <a:t> حل با</a:t>
          </a:r>
          <a:r>
            <a:rPr lang="en-US" sz="1100" baseline="0">
              <a:solidFill>
                <a:schemeClr val="lt1"/>
              </a:solidFill>
              <a:effectLst/>
              <a:latin typeface="+mn-lt"/>
              <a:ea typeface="+mn-ea"/>
              <a:cs typeface="+mn-cs"/>
            </a:rPr>
            <a:t> </a:t>
          </a:r>
          <a:r>
            <a:rPr lang="fa-IR" sz="1100" baseline="0">
              <a:solidFill>
                <a:schemeClr val="lt1"/>
              </a:solidFill>
              <a:effectLst/>
              <a:latin typeface="+mn-lt"/>
              <a:ea typeface="+mn-ea"/>
              <a:cs typeface="+mn-cs"/>
            </a:rPr>
            <a:t> </a:t>
          </a:r>
          <a:r>
            <a:rPr lang="en-US" sz="1100" baseline="0">
              <a:solidFill>
                <a:schemeClr val="lt1"/>
              </a:solidFill>
              <a:effectLst/>
              <a:latin typeface="+mn-lt"/>
              <a:ea typeface="+mn-ea"/>
              <a:cs typeface="+mn-cs"/>
            </a:rPr>
            <a:t>Solver</a:t>
          </a:r>
          <a:endParaRPr lang="fa-IR">
            <a:effectLst/>
          </a:endParaRPr>
        </a:p>
      </xdr:txBody>
    </xdr:sp>
    <xdr:clientData/>
  </xdr:twoCellAnchor>
  <xdr:twoCellAnchor>
    <xdr:from>
      <xdr:col>8</xdr:col>
      <xdr:colOff>95249</xdr:colOff>
      <xdr:row>27</xdr:row>
      <xdr:rowOff>108530</xdr:rowOff>
    </xdr:from>
    <xdr:to>
      <xdr:col>11</xdr:col>
      <xdr:colOff>228601</xdr:colOff>
      <xdr:row>29</xdr:row>
      <xdr:rowOff>79955</xdr:rowOff>
    </xdr:to>
    <xdr:sp macro="" textlink="">
      <xdr:nvSpPr>
        <xdr:cNvPr id="12" name="Rectangle: Rounded Corners 11">
          <a:extLst>
            <a:ext uri="{FF2B5EF4-FFF2-40B4-BE49-F238E27FC236}">
              <a16:creationId xmlns:a16="http://schemas.microsoft.com/office/drawing/2014/main" id="{5E8B9B14-6749-4DD1-921A-7A03FC82BE27}"/>
            </a:ext>
          </a:extLst>
        </xdr:cNvPr>
        <xdr:cNvSpPr/>
      </xdr:nvSpPr>
      <xdr:spPr>
        <a:xfrm flipH="1">
          <a:off x="11191680017" y="4949471"/>
          <a:ext cx="2184028" cy="330013"/>
        </a:xfrm>
        <a:prstGeom prst="round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ctr" rtl="1"/>
          <a:r>
            <a:rPr lang="fa-IR" sz="1100" baseline="0"/>
            <a:t>نتايج</a:t>
          </a:r>
        </a:p>
      </xdr:txBody>
    </xdr:sp>
    <xdr:clientData/>
  </xdr:twoCellAnchor>
  <xdr:twoCellAnchor>
    <xdr:from>
      <xdr:col>11</xdr:col>
      <xdr:colOff>296116</xdr:colOff>
      <xdr:row>17</xdr:row>
      <xdr:rowOff>127350</xdr:rowOff>
    </xdr:from>
    <xdr:to>
      <xdr:col>11</xdr:col>
      <xdr:colOff>443753</xdr:colOff>
      <xdr:row>19</xdr:row>
      <xdr:rowOff>27337</xdr:rowOff>
    </xdr:to>
    <xdr:sp macro="" textlink="">
      <xdr:nvSpPr>
        <xdr:cNvPr id="14" name="Isosceles Triangle 13">
          <a:hlinkClick xmlns:r="http://schemas.openxmlformats.org/officeDocument/2006/relationships" r:id="rId3"/>
          <a:extLst>
            <a:ext uri="{FF2B5EF4-FFF2-40B4-BE49-F238E27FC236}">
              <a16:creationId xmlns:a16="http://schemas.microsoft.com/office/drawing/2014/main" id="{4F307061-1E0C-48EA-A436-C36A9ED08D6D}"/>
            </a:ext>
          </a:extLst>
        </xdr:cNvPr>
        <xdr:cNvSpPr/>
      </xdr:nvSpPr>
      <xdr:spPr>
        <a:xfrm rot="16200000">
          <a:off x="11191409396" y="3230819"/>
          <a:ext cx="258575" cy="14763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a:p>
      </xdr:txBody>
    </xdr:sp>
    <xdr:clientData/>
  </xdr:twoCellAnchor>
  <xdr:twoCellAnchor>
    <xdr:from>
      <xdr:col>11</xdr:col>
      <xdr:colOff>296116</xdr:colOff>
      <xdr:row>19</xdr:row>
      <xdr:rowOff>130872</xdr:rowOff>
    </xdr:from>
    <xdr:to>
      <xdr:col>11</xdr:col>
      <xdr:colOff>443753</xdr:colOff>
      <xdr:row>21</xdr:row>
      <xdr:rowOff>30859</xdr:rowOff>
    </xdr:to>
    <xdr:sp macro="" textlink="">
      <xdr:nvSpPr>
        <xdr:cNvPr id="15" name="Isosceles Triangle 14">
          <a:hlinkClick xmlns:r="http://schemas.openxmlformats.org/officeDocument/2006/relationships" r:id="rId4"/>
          <a:extLst>
            <a:ext uri="{FF2B5EF4-FFF2-40B4-BE49-F238E27FC236}">
              <a16:creationId xmlns:a16="http://schemas.microsoft.com/office/drawing/2014/main" id="{A482AB57-E78A-4461-8BA7-9AD655512DEF}"/>
            </a:ext>
          </a:extLst>
        </xdr:cNvPr>
        <xdr:cNvSpPr/>
      </xdr:nvSpPr>
      <xdr:spPr>
        <a:xfrm rot="16200000">
          <a:off x="11191409396" y="3592929"/>
          <a:ext cx="258575" cy="147637"/>
        </a:xfrm>
        <a:prstGeom prst="triangl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a:p>
      </xdr:txBody>
    </xdr:sp>
    <xdr:clientData/>
  </xdr:twoCellAnchor>
  <xdr:twoCellAnchor>
    <xdr:from>
      <xdr:col>11</xdr:col>
      <xdr:colOff>296116</xdr:colOff>
      <xdr:row>21</xdr:row>
      <xdr:rowOff>134394</xdr:rowOff>
    </xdr:from>
    <xdr:to>
      <xdr:col>11</xdr:col>
      <xdr:colOff>443753</xdr:colOff>
      <xdr:row>23</xdr:row>
      <xdr:rowOff>34380</xdr:rowOff>
    </xdr:to>
    <xdr:sp macro="" textlink="">
      <xdr:nvSpPr>
        <xdr:cNvPr id="16" name="Isosceles Triangle 15">
          <a:hlinkClick xmlns:r="http://schemas.openxmlformats.org/officeDocument/2006/relationships" r:id="rId5"/>
          <a:extLst>
            <a:ext uri="{FF2B5EF4-FFF2-40B4-BE49-F238E27FC236}">
              <a16:creationId xmlns:a16="http://schemas.microsoft.com/office/drawing/2014/main" id="{610694FD-7AEB-4823-B493-B2194B078D3A}"/>
            </a:ext>
          </a:extLst>
        </xdr:cNvPr>
        <xdr:cNvSpPr/>
      </xdr:nvSpPr>
      <xdr:spPr>
        <a:xfrm rot="16200000">
          <a:off x="11191409396" y="3955039"/>
          <a:ext cx="258575" cy="147637"/>
        </a:xfrm>
        <a:prstGeom prst="triangl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a:p>
      </xdr:txBody>
    </xdr:sp>
    <xdr:clientData/>
  </xdr:twoCellAnchor>
  <xdr:twoCellAnchor>
    <xdr:from>
      <xdr:col>11</xdr:col>
      <xdr:colOff>296116</xdr:colOff>
      <xdr:row>23</xdr:row>
      <xdr:rowOff>137915</xdr:rowOff>
    </xdr:from>
    <xdr:to>
      <xdr:col>11</xdr:col>
      <xdr:colOff>443753</xdr:colOff>
      <xdr:row>25</xdr:row>
      <xdr:rowOff>37902</xdr:rowOff>
    </xdr:to>
    <xdr:sp macro="" textlink="">
      <xdr:nvSpPr>
        <xdr:cNvPr id="17" name="Isosceles Triangle 16">
          <a:hlinkClick xmlns:r="http://schemas.openxmlformats.org/officeDocument/2006/relationships" r:id="rId6"/>
          <a:extLst>
            <a:ext uri="{FF2B5EF4-FFF2-40B4-BE49-F238E27FC236}">
              <a16:creationId xmlns:a16="http://schemas.microsoft.com/office/drawing/2014/main" id="{44958251-5718-41CA-9D39-46C87CD09E09}"/>
            </a:ext>
          </a:extLst>
        </xdr:cNvPr>
        <xdr:cNvSpPr/>
      </xdr:nvSpPr>
      <xdr:spPr>
        <a:xfrm rot="16200000">
          <a:off x="11191409396" y="4317149"/>
          <a:ext cx="258575" cy="147637"/>
        </a:xfrm>
        <a:prstGeom prst="triangl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a:p>
      </xdr:txBody>
    </xdr:sp>
    <xdr:clientData/>
  </xdr:twoCellAnchor>
  <xdr:twoCellAnchor>
    <xdr:from>
      <xdr:col>11</xdr:col>
      <xdr:colOff>296116</xdr:colOff>
      <xdr:row>25</xdr:row>
      <xdr:rowOff>141437</xdr:rowOff>
    </xdr:from>
    <xdr:to>
      <xdr:col>11</xdr:col>
      <xdr:colOff>443753</xdr:colOff>
      <xdr:row>27</xdr:row>
      <xdr:rowOff>41424</xdr:rowOff>
    </xdr:to>
    <xdr:sp macro="" textlink="">
      <xdr:nvSpPr>
        <xdr:cNvPr id="18" name="Isosceles Triangle 17">
          <a:hlinkClick xmlns:r="http://schemas.openxmlformats.org/officeDocument/2006/relationships" r:id="rId7"/>
          <a:extLst>
            <a:ext uri="{FF2B5EF4-FFF2-40B4-BE49-F238E27FC236}">
              <a16:creationId xmlns:a16="http://schemas.microsoft.com/office/drawing/2014/main" id="{B4015D3E-24CB-4960-B370-9B338DF3E261}"/>
            </a:ext>
          </a:extLst>
        </xdr:cNvPr>
        <xdr:cNvSpPr/>
      </xdr:nvSpPr>
      <xdr:spPr>
        <a:xfrm rot="16200000">
          <a:off x="11191409396" y="4679259"/>
          <a:ext cx="258575" cy="147637"/>
        </a:xfrm>
        <a:prstGeom prst="triangl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a:p>
      </xdr:txBody>
    </xdr:sp>
    <xdr:clientData/>
  </xdr:twoCellAnchor>
  <xdr:twoCellAnchor>
    <xdr:from>
      <xdr:col>11</xdr:col>
      <xdr:colOff>296116</xdr:colOff>
      <xdr:row>27</xdr:row>
      <xdr:rowOff>144959</xdr:rowOff>
    </xdr:from>
    <xdr:to>
      <xdr:col>11</xdr:col>
      <xdr:colOff>443753</xdr:colOff>
      <xdr:row>29</xdr:row>
      <xdr:rowOff>44946</xdr:rowOff>
    </xdr:to>
    <xdr:sp macro="" textlink="">
      <xdr:nvSpPr>
        <xdr:cNvPr id="19" name="Isosceles Triangle 18">
          <a:hlinkClick xmlns:r="http://schemas.openxmlformats.org/officeDocument/2006/relationships" r:id="rId8"/>
          <a:extLst>
            <a:ext uri="{FF2B5EF4-FFF2-40B4-BE49-F238E27FC236}">
              <a16:creationId xmlns:a16="http://schemas.microsoft.com/office/drawing/2014/main" id="{D8D8766E-BCE6-4014-BA08-A76A9B676265}"/>
            </a:ext>
          </a:extLst>
        </xdr:cNvPr>
        <xdr:cNvSpPr/>
      </xdr:nvSpPr>
      <xdr:spPr>
        <a:xfrm rot="16200000">
          <a:off x="11191409396" y="5041369"/>
          <a:ext cx="258575" cy="147637"/>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227719</xdr:colOff>
      <xdr:row>0</xdr:row>
      <xdr:rowOff>47625</xdr:rowOff>
    </xdr:from>
    <xdr:to>
      <xdr:col>1</xdr:col>
      <xdr:colOff>314324</xdr:colOff>
      <xdr:row>0</xdr:row>
      <xdr:rowOff>457200</xdr:rowOff>
    </xdr:to>
    <xdr:pic>
      <xdr:nvPicPr>
        <xdr:cNvPr id="2" name="Graphic 1">
          <a:hlinkClick xmlns:r="http://schemas.openxmlformats.org/officeDocument/2006/relationships" r:id="rId1"/>
          <a:extLst>
            <a:ext uri="{FF2B5EF4-FFF2-40B4-BE49-F238E27FC236}">
              <a16:creationId xmlns:a16="http://schemas.microsoft.com/office/drawing/2014/main" id="{D0C8829C-05D8-4C95-ACE5-1291BC8DB5D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1241947926" y="47625"/>
          <a:ext cx="381880"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227719</xdr:colOff>
      <xdr:row>0</xdr:row>
      <xdr:rowOff>47625</xdr:rowOff>
    </xdr:from>
    <xdr:to>
      <xdr:col>0</xdr:col>
      <xdr:colOff>610657</xdr:colOff>
      <xdr:row>0</xdr:row>
      <xdr:rowOff>457200</xdr:rowOff>
    </xdr:to>
    <xdr:pic>
      <xdr:nvPicPr>
        <xdr:cNvPr id="2" name="Graphic 1">
          <a:hlinkClick xmlns:r="http://schemas.openxmlformats.org/officeDocument/2006/relationships" r:id="rId1"/>
          <a:extLst>
            <a:ext uri="{FF2B5EF4-FFF2-40B4-BE49-F238E27FC236}">
              <a16:creationId xmlns:a16="http://schemas.microsoft.com/office/drawing/2014/main" id="{D3399E09-5804-4A7D-BD6F-FD968664E5E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1238753876" y="47625"/>
          <a:ext cx="378705" cy="409575"/>
        </a:xfrm>
        <a:prstGeom prst="rect">
          <a:avLst/>
        </a:prstGeom>
      </xdr:spPr>
    </xdr:pic>
    <xdr:clientData/>
  </xdr:twoCellAnchor>
  <xdr:twoCellAnchor editAs="oneCell">
    <xdr:from>
      <xdr:col>0</xdr:col>
      <xdr:colOff>227719</xdr:colOff>
      <xdr:row>0</xdr:row>
      <xdr:rowOff>47625</xdr:rowOff>
    </xdr:from>
    <xdr:to>
      <xdr:col>0</xdr:col>
      <xdr:colOff>606424</xdr:colOff>
      <xdr:row>0</xdr:row>
      <xdr:rowOff>457200</xdr:rowOff>
    </xdr:to>
    <xdr:pic>
      <xdr:nvPicPr>
        <xdr:cNvPr id="3" name="Graphic 2">
          <a:hlinkClick xmlns:r="http://schemas.openxmlformats.org/officeDocument/2006/relationships" r:id="rId1"/>
          <a:extLst>
            <a:ext uri="{FF2B5EF4-FFF2-40B4-BE49-F238E27FC236}">
              <a16:creationId xmlns:a16="http://schemas.microsoft.com/office/drawing/2014/main" id="{04DD94F2-0582-43FF-95B2-A6FE6066688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1238753876" y="47625"/>
          <a:ext cx="378705"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hase3-Tir-ProPlanning_Sa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DATA"/>
      <sheetName val="DATA 2"/>
      <sheetName val="MPS incubment"/>
      <sheetName val="MPS minCO"/>
      <sheetName val="MPS minPOH"/>
      <sheetName val="MPS with_Slover"/>
      <sheetName val="Result"/>
    </sheetNames>
    <sheetDataSet>
      <sheetData sheetId="0"/>
      <sheetData sheetId="1">
        <row r="8">
          <cell r="H8" t="str">
            <v>درصد تخصیص</v>
          </cell>
          <cell r="I8" t="str">
            <v>الویت تخصیص</v>
          </cell>
          <cell r="J8" t="str">
            <v>ظرفیت تولید در هفته</v>
          </cell>
        </row>
        <row r="9">
          <cell r="G9" t="str">
            <v>PL 1</v>
          </cell>
          <cell r="H9">
            <v>0.35</v>
          </cell>
          <cell r="I9">
            <v>2</v>
          </cell>
          <cell r="J9">
            <v>2190</v>
          </cell>
        </row>
        <row r="10">
          <cell r="G10" t="str">
            <v>PL 2</v>
          </cell>
          <cell r="H10">
            <v>0.65</v>
          </cell>
          <cell r="I10">
            <v>1</v>
          </cell>
          <cell r="J10">
            <v>1430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4">
      <a:majorFont>
        <a:latin typeface="Calibri Light"/>
        <a:ea typeface=""/>
        <a:cs typeface="B Yekan"/>
      </a:majorFont>
      <a:minorFont>
        <a:latin typeface="Calibri"/>
        <a:ea typeface=""/>
        <a:cs typeface="B Yek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995C-082B-4AE4-A1DB-DF1ADBDF2C25}">
  <sheetPr codeName="Sheet1">
    <tabColor theme="1"/>
  </sheetPr>
  <dimension ref="A1:Z38"/>
  <sheetViews>
    <sheetView showGridLines="0" rightToLeft="1" zoomScale="85" zoomScaleNormal="85" workbookViewId="0">
      <selection activeCell="Q26" sqref="Q26"/>
    </sheetView>
  </sheetViews>
  <sheetFormatPr defaultColWidth="9" defaultRowHeight="14.25"/>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1"/>
      <c r="C8" s="1"/>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1"/>
      <c r="C38" s="1"/>
      <c r="D38" s="1"/>
      <c r="E38" s="1"/>
      <c r="F38" s="1"/>
      <c r="G38" s="1"/>
      <c r="H38" s="1"/>
      <c r="I38" s="1"/>
      <c r="J38" s="1"/>
      <c r="K38" s="1"/>
      <c r="L38" s="1"/>
      <c r="M38" s="1"/>
      <c r="N38" s="1"/>
      <c r="O38" s="1"/>
      <c r="P38" s="1"/>
      <c r="Q38" s="1"/>
      <c r="R38" s="1"/>
      <c r="S38" s="1"/>
      <c r="T38" s="1"/>
      <c r="U38" s="1"/>
      <c r="V38" s="1"/>
      <c r="W38" s="1"/>
      <c r="X38" s="1"/>
      <c r="Y38" s="1"/>
      <c r="Z38" s="1"/>
    </row>
  </sheetData>
  <sheetProtection algorithmName="SHA-512" hashValue="fxGw87G0DyjtZjd3vN1R5Z9RpRMQLJM4ADYAL4NpC3fKH7OgunrSTQzJ3DO+2lorvz2m5LdntgpCPCaiMrcqoA==" saltValue="ywzbQSl4H+Oz8fyBfG0jT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B93A2-C48F-4B9C-A9AA-FB974CFC180C}">
  <sheetPr codeName="Sheet2">
    <tabColor rgb="FF0070C0"/>
  </sheetPr>
  <dimension ref="A1:AE17"/>
  <sheetViews>
    <sheetView showGridLines="0" rightToLeft="1" topLeftCell="A3" zoomScale="85" zoomScaleNormal="85" workbookViewId="0">
      <selection activeCell="G19" sqref="G19"/>
    </sheetView>
  </sheetViews>
  <sheetFormatPr defaultColWidth="9" defaultRowHeight="18.75"/>
  <cols>
    <col min="1" max="1" width="3.875" style="4" bestFit="1" customWidth="1"/>
    <col min="2" max="2" width="13.625" style="4" customWidth="1"/>
    <col min="3" max="3" width="12.25" style="4" bestFit="1" customWidth="1"/>
    <col min="4" max="4" width="15.125" style="4" bestFit="1" customWidth="1"/>
    <col min="5" max="5" width="12.25" style="4" bestFit="1" customWidth="1"/>
    <col min="6" max="6" width="11.625" style="4" customWidth="1"/>
    <col min="7" max="7" width="15.875" style="4" bestFit="1" customWidth="1"/>
    <col min="8" max="8" width="12.125" style="4" bestFit="1" customWidth="1"/>
    <col min="9" max="9" width="11.875" style="4" bestFit="1" customWidth="1"/>
    <col min="10" max="10" width="17.125" style="4" bestFit="1" customWidth="1"/>
    <col min="11" max="11" width="7.625" style="4" customWidth="1"/>
    <col min="12" max="12" width="25.75" style="4" bestFit="1" customWidth="1"/>
    <col min="13" max="16384" width="9" style="4"/>
  </cols>
  <sheetData>
    <row r="1" spans="1:31" s="3" customFormat="1" ht="39.75" customHeight="1">
      <c r="A1" s="2" t="str">
        <f>"                     ‌Production Planning  (Saya Oven Toaster (پارس خزر))       -     "</f>
        <v xml:space="preserve">                     ‌Production Planning  (Saya Oven Toaster (پارس خزر))       -     </v>
      </c>
      <c r="B1" s="121" t="str">
        <f>"  برنامه‌ریزی تولید  (Saya Oven Toaster (پارس خزر))  "</f>
        <v xml:space="preserve">  برنامه‌ریزی تولید  (Saya Oven Toaster (پارس خزر))  </v>
      </c>
      <c r="C1" s="121"/>
      <c r="D1" s="121"/>
      <c r="E1" s="121"/>
      <c r="F1" s="121"/>
      <c r="G1" s="121"/>
      <c r="H1" s="121"/>
      <c r="I1" s="2"/>
      <c r="J1" s="2"/>
      <c r="K1" s="2"/>
      <c r="L1" s="2"/>
      <c r="M1" s="2"/>
      <c r="N1" s="2"/>
      <c r="O1" s="2"/>
      <c r="P1" s="2"/>
      <c r="Q1" s="2"/>
      <c r="R1" s="2"/>
      <c r="S1" s="2"/>
      <c r="T1" s="2"/>
      <c r="U1" s="2"/>
      <c r="V1" s="2"/>
      <c r="W1" s="2"/>
      <c r="X1" s="2"/>
      <c r="Y1" s="2"/>
      <c r="Z1" s="2"/>
      <c r="AA1" s="2"/>
      <c r="AB1" s="2"/>
      <c r="AC1" s="2"/>
      <c r="AD1" s="2"/>
      <c r="AE1" s="2"/>
    </row>
    <row r="3" spans="1:31" ht="132" customHeight="1" thickBot="1">
      <c r="B3" s="120" t="s">
        <v>12</v>
      </c>
      <c r="C3" s="120"/>
      <c r="D3" s="120"/>
      <c r="E3" s="120"/>
      <c r="F3" s="120"/>
      <c r="G3" s="120"/>
      <c r="H3" s="120"/>
      <c r="I3" s="120"/>
    </row>
    <row r="4" spans="1:31">
      <c r="L4" s="5" t="s">
        <v>0</v>
      </c>
      <c r="M4" s="73">
        <v>16000</v>
      </c>
    </row>
    <row r="5" spans="1:31">
      <c r="C5" s="6" t="s">
        <v>5</v>
      </c>
      <c r="D5" s="6" t="s">
        <v>6</v>
      </c>
      <c r="E5" s="6" t="s">
        <v>33</v>
      </c>
      <c r="F5" s="6" t="s">
        <v>7</v>
      </c>
      <c r="G5" s="6" t="s">
        <v>34</v>
      </c>
      <c r="L5" s="7" t="s">
        <v>66</v>
      </c>
      <c r="M5" s="74">
        <v>255000</v>
      </c>
    </row>
    <row r="6" spans="1:31" ht="36" customHeight="1">
      <c r="C6" s="8" t="s">
        <v>38</v>
      </c>
      <c r="D6" s="78">
        <v>24</v>
      </c>
      <c r="E6" s="79">
        <v>13197</v>
      </c>
      <c r="F6" s="78">
        <v>112</v>
      </c>
      <c r="G6" s="9">
        <f>F6*D6*(M10+M11)</f>
        <v>34944</v>
      </c>
      <c r="L6" s="7" t="s">
        <v>1</v>
      </c>
      <c r="M6" s="74">
        <v>1000</v>
      </c>
    </row>
    <row r="7" spans="1:31" ht="18" customHeight="1">
      <c r="G7" s="105"/>
      <c r="L7" s="7" t="s">
        <v>2</v>
      </c>
      <c r="M7" s="74">
        <v>10000</v>
      </c>
    </row>
    <row r="8" spans="1:31" ht="18" customHeight="1">
      <c r="C8" s="10" t="s">
        <v>10</v>
      </c>
      <c r="D8" s="10" t="s">
        <v>46</v>
      </c>
      <c r="E8" s="10" t="s">
        <v>16</v>
      </c>
      <c r="H8" s="8" t="s">
        <v>49</v>
      </c>
      <c r="I8" s="8" t="s">
        <v>50</v>
      </c>
      <c r="J8" s="8" t="s">
        <v>51</v>
      </c>
      <c r="L8" s="7" t="s">
        <v>8</v>
      </c>
      <c r="M8" s="75">
        <v>0.95</v>
      </c>
    </row>
    <row r="9" spans="1:31" ht="18" customHeight="1">
      <c r="C9" s="11">
        <v>1</v>
      </c>
      <c r="D9" s="80">
        <v>95</v>
      </c>
      <c r="E9" s="80">
        <v>50</v>
      </c>
      <c r="G9" s="106" t="s">
        <v>52</v>
      </c>
      <c r="H9" s="25">
        <v>0.35</v>
      </c>
      <c r="I9" s="25">
        <v>2</v>
      </c>
      <c r="J9" s="25">
        <v>2190</v>
      </c>
      <c r="L9" s="7" t="s">
        <v>9</v>
      </c>
      <c r="M9" s="75">
        <v>0.97499999999999998</v>
      </c>
    </row>
    <row r="10" spans="1:31" ht="18" customHeight="1">
      <c r="C10" s="11">
        <v>2</v>
      </c>
      <c r="D10" s="80">
        <v>110</v>
      </c>
      <c r="E10" s="80">
        <v>90</v>
      </c>
      <c r="G10" s="106" t="s">
        <v>53</v>
      </c>
      <c r="H10" s="25">
        <f>1-H9</f>
        <v>0.65</v>
      </c>
      <c r="I10" s="25">
        <v>1</v>
      </c>
      <c r="J10" s="25">
        <v>1430</v>
      </c>
      <c r="L10" s="7" t="s">
        <v>3</v>
      </c>
      <c r="M10" s="76">
        <v>9</v>
      </c>
    </row>
    <row r="11" spans="1:31" ht="18" customHeight="1">
      <c r="C11" s="11">
        <v>3</v>
      </c>
      <c r="D11" s="80">
        <v>125</v>
      </c>
      <c r="E11" s="80">
        <v>70</v>
      </c>
      <c r="L11" s="7" t="s">
        <v>4</v>
      </c>
      <c r="M11" s="76">
        <v>4</v>
      </c>
    </row>
    <row r="12" spans="1:31">
      <c r="L12" s="7" t="s">
        <v>0</v>
      </c>
      <c r="M12" s="76">
        <v>16000</v>
      </c>
    </row>
    <row r="13" spans="1:31" ht="23.25" thickBot="1">
      <c r="C13" s="46">
        <v>3</v>
      </c>
      <c r="D13" s="46">
        <v>2</v>
      </c>
      <c r="E13" s="46">
        <v>1</v>
      </c>
      <c r="F13" s="52" t="s">
        <v>18</v>
      </c>
      <c r="L13" s="12" t="s">
        <v>66</v>
      </c>
      <c r="M13" s="77">
        <v>255000</v>
      </c>
    </row>
    <row r="14" spans="1:31" ht="18.75" customHeight="1">
      <c r="C14" s="98">
        <f>-DATA!$M$13</f>
        <v>-255000</v>
      </c>
      <c r="D14" s="98">
        <f>-DATA!$M$13</f>
        <v>-255000</v>
      </c>
      <c r="E14" s="98">
        <f>-DATA!$M$13</f>
        <v>-255000</v>
      </c>
      <c r="F14" s="57" t="s">
        <v>19</v>
      </c>
    </row>
    <row r="15" spans="1:31" ht="22.5">
      <c r="C15" s="98">
        <f>M12</f>
        <v>16000</v>
      </c>
      <c r="D15" s="98">
        <f>M12</f>
        <v>16000</v>
      </c>
      <c r="E15" s="98">
        <f>M12</f>
        <v>16000</v>
      </c>
      <c r="F15" s="57" t="s">
        <v>21</v>
      </c>
    </row>
    <row r="16" spans="1:31" ht="22.5">
      <c r="C16" s="98">
        <v>230000</v>
      </c>
      <c r="D16" s="98">
        <v>210000</v>
      </c>
      <c r="E16" s="98">
        <v>250000</v>
      </c>
      <c r="F16" s="57" t="s">
        <v>23</v>
      </c>
    </row>
    <row r="17" spans="3:6" ht="18" customHeight="1">
      <c r="C17" s="56">
        <v>3</v>
      </c>
      <c r="D17" s="56">
        <v>2.1</v>
      </c>
      <c r="E17" s="56">
        <v>2.4</v>
      </c>
      <c r="F17" s="57" t="s">
        <v>28</v>
      </c>
    </row>
  </sheetData>
  <sheetProtection algorithmName="SHA-512" hashValue="/RSHg/DXbJuLvZZfiLcrd+CjqwXEN2dTA2o6h4H/xGfiCsR0btHc7eCQGsvFaHPrCzbTuavLIBXNrwJO5yMiQQ==" saltValue="uHwbNG4DZoCRFiQgqo0KRw==" spinCount="100000" sheet="1" objects="1" scenarios="1"/>
  <mergeCells count="2">
    <mergeCell ref="B3:I3"/>
    <mergeCell ref="B1:H1"/>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B66D-E1CE-4F72-AFBD-B2A4846D362C}">
  <sheetPr codeName="Sheet3">
    <tabColor rgb="FF0070C0"/>
  </sheetPr>
  <dimension ref="A1:AE10"/>
  <sheetViews>
    <sheetView showGridLines="0" rightToLeft="1" topLeftCell="B1" zoomScale="115" zoomScaleNormal="115" workbookViewId="0">
      <selection activeCell="G8" sqref="G8:J10"/>
    </sheetView>
  </sheetViews>
  <sheetFormatPr defaultColWidth="11.75" defaultRowHeight="18.75"/>
  <cols>
    <col min="1" max="1" width="11.75" style="4"/>
    <col min="2" max="2" width="4.625" style="4" bestFit="1" customWidth="1"/>
    <col min="3" max="6" width="5.125" style="4" bestFit="1" customWidth="1"/>
    <col min="7" max="10" width="5.75" style="4" bestFit="1" customWidth="1"/>
    <col min="11" max="11" width="6" style="4" bestFit="1" customWidth="1"/>
    <col min="12" max="14" width="5.125" style="4" bestFit="1" customWidth="1"/>
    <col min="15" max="15" width="5.375" style="4" customWidth="1"/>
    <col min="16" max="16" width="4.625" style="4" bestFit="1" customWidth="1"/>
    <col min="17" max="21" width="5.125" style="4" bestFit="1" customWidth="1"/>
    <col min="22" max="22" width="11.75" style="4"/>
    <col min="23" max="23" width="7.75" style="4" bestFit="1" customWidth="1"/>
    <col min="24" max="24" width="18.25" style="4" bestFit="1" customWidth="1"/>
    <col min="25" max="26" width="5.125" style="4" bestFit="1" customWidth="1"/>
    <col min="27" max="27" width="5.75" style="4" bestFit="1" customWidth="1"/>
    <col min="28" max="16384" width="11.75" style="4"/>
  </cols>
  <sheetData>
    <row r="1" spans="1:31" s="3" customFormat="1" ht="39.75" customHeight="1">
      <c r="A1" s="2"/>
      <c r="B1" s="121" t="str">
        <f>"  برنامه‌ریزی تولید  (Saya Oven Toaster (پارس خزر))  "</f>
        <v xml:space="preserve">  برنامه‌ریزی تولید  (Saya Oven Toaster (پارس خزر))  </v>
      </c>
      <c r="C1" s="121"/>
      <c r="D1" s="121"/>
      <c r="E1" s="121"/>
      <c r="F1" s="121"/>
      <c r="G1" s="121"/>
      <c r="H1" s="121"/>
      <c r="I1" s="121"/>
      <c r="J1" s="121"/>
      <c r="K1" s="121"/>
      <c r="L1" s="121"/>
      <c r="M1" s="121"/>
      <c r="N1" s="121"/>
      <c r="O1" s="121"/>
      <c r="P1" s="2"/>
      <c r="Q1" s="2"/>
      <c r="R1" s="2"/>
      <c r="S1" s="2"/>
      <c r="T1" s="2"/>
      <c r="U1" s="2"/>
      <c r="V1" s="2"/>
      <c r="W1" s="2"/>
      <c r="X1" s="2"/>
      <c r="Y1" s="2"/>
      <c r="Z1" s="2"/>
      <c r="AA1" s="2"/>
      <c r="AB1" s="2"/>
      <c r="AC1" s="2"/>
      <c r="AD1" s="2"/>
      <c r="AE1" s="2"/>
    </row>
    <row r="3" spans="1:31">
      <c r="B3" s="122" t="s">
        <v>35</v>
      </c>
      <c r="C3" s="122"/>
      <c r="D3" s="122"/>
      <c r="E3" s="122"/>
      <c r="F3" s="122"/>
      <c r="G3" s="82"/>
      <c r="H3" s="90"/>
      <c r="I3" s="122" t="s">
        <v>36</v>
      </c>
      <c r="J3" s="122"/>
      <c r="K3" s="122"/>
      <c r="L3" s="122"/>
      <c r="M3" s="122"/>
      <c r="N3" s="82"/>
      <c r="O3" s="90"/>
      <c r="P3" s="122" t="s">
        <v>37</v>
      </c>
      <c r="Q3" s="122"/>
      <c r="R3" s="122"/>
      <c r="S3" s="122"/>
      <c r="T3" s="122"/>
      <c r="U3" s="122"/>
      <c r="X3" s="8" t="s">
        <v>39</v>
      </c>
    </row>
    <row r="4" spans="1:31">
      <c r="B4" s="95" t="s">
        <v>42</v>
      </c>
      <c r="C4" s="96">
        <v>1396</v>
      </c>
      <c r="D4" s="96">
        <v>1397</v>
      </c>
      <c r="E4" s="96">
        <v>1398</v>
      </c>
      <c r="F4" s="96">
        <v>1399</v>
      </c>
      <c r="G4" s="96">
        <v>1400</v>
      </c>
      <c r="H4" s="91"/>
      <c r="I4" s="95" t="s">
        <v>42</v>
      </c>
      <c r="J4" s="96">
        <v>1396</v>
      </c>
      <c r="K4" s="96">
        <v>1397</v>
      </c>
      <c r="L4" s="96">
        <v>1398</v>
      </c>
      <c r="M4" s="96">
        <v>1399</v>
      </c>
      <c r="N4" s="96">
        <v>1400</v>
      </c>
      <c r="O4" s="91"/>
      <c r="P4" s="95" t="s">
        <v>42</v>
      </c>
      <c r="Q4" s="96">
        <v>1396</v>
      </c>
      <c r="R4" s="96">
        <v>1397</v>
      </c>
      <c r="S4" s="96">
        <v>1398</v>
      </c>
      <c r="T4" s="96">
        <v>1399</v>
      </c>
      <c r="U4" s="96">
        <v>1400</v>
      </c>
      <c r="X4" s="78" t="s">
        <v>40</v>
      </c>
      <c r="Y4" s="93"/>
    </row>
    <row r="5" spans="1:31">
      <c r="B5" s="83" t="s">
        <v>38</v>
      </c>
      <c r="C5" s="84">
        <v>1727</v>
      </c>
      <c r="D5" s="84">
        <v>2553</v>
      </c>
      <c r="E5" s="84">
        <v>4403</v>
      </c>
      <c r="F5" s="84">
        <v>4450</v>
      </c>
      <c r="G5" s="85">
        <f>($X$6*SUM(C5:F5))/(SUM($Q$5:$T$5)+SUM($J$5:$M$5)+SUM($C$5:$F$5))</f>
        <v>2838.380824459347</v>
      </c>
      <c r="H5" s="92"/>
      <c r="I5" s="84" t="s">
        <v>38</v>
      </c>
      <c r="J5" s="84">
        <v>8938</v>
      </c>
      <c r="K5" s="84">
        <v>6328</v>
      </c>
      <c r="L5" s="84">
        <v>3039</v>
      </c>
      <c r="M5" s="84">
        <v>1216</v>
      </c>
      <c r="N5" s="85">
        <f>($X$6*SUM(J5:M5))/(SUM($Q$5:$T$5)+SUM($J$5:$M$5)+SUM($C$5:$F$5))</f>
        <v>4218.992771969155</v>
      </c>
      <c r="O5" s="92"/>
      <c r="P5" s="84" t="s">
        <v>38</v>
      </c>
      <c r="Q5" s="84">
        <v>6855</v>
      </c>
      <c r="R5" s="84">
        <v>4325</v>
      </c>
      <c r="S5" s="84">
        <v>4150</v>
      </c>
      <c r="T5" s="84">
        <v>3759</v>
      </c>
      <c r="U5" s="85">
        <f>($X$6*SUM(Q5:T5))/(SUM($Q$5:$T$5)+SUM($J$5:$M$5)+SUM($C$5:$F$5))</f>
        <v>4125.6264035714976</v>
      </c>
      <c r="X5" s="8" t="s">
        <v>45</v>
      </c>
    </row>
    <row r="6" spans="1:31">
      <c r="X6" s="94">
        <v>11183</v>
      </c>
    </row>
    <row r="7" spans="1:31">
      <c r="B7" s="123" t="s">
        <v>43</v>
      </c>
      <c r="C7" s="123"/>
      <c r="D7" s="123"/>
      <c r="E7" s="123"/>
      <c r="F7" s="123"/>
      <c r="G7" s="88">
        <v>9</v>
      </c>
      <c r="H7" s="88">
        <v>10</v>
      </c>
      <c r="I7" s="88">
        <v>11</v>
      </c>
      <c r="J7" s="88">
        <v>12</v>
      </c>
      <c r="K7" s="88"/>
      <c r="X7" s="93"/>
    </row>
    <row r="8" spans="1:31">
      <c r="B8" s="123" t="s">
        <v>35</v>
      </c>
      <c r="C8" s="123"/>
      <c r="D8" s="123"/>
      <c r="E8" s="123"/>
      <c r="F8" s="123"/>
      <c r="G8" s="87">
        <f t="shared" ref="G8:J10" si="0">VLOOKUP($X$4,$W$8:$AA$10,COLUMN()-5,FALSE)*$K8</f>
        <v>425.75712366890201</v>
      </c>
      <c r="H8" s="87">
        <f t="shared" si="0"/>
        <v>567.67616489186946</v>
      </c>
      <c r="I8" s="87">
        <f t="shared" si="0"/>
        <v>851.51424733780402</v>
      </c>
      <c r="J8" s="87">
        <f t="shared" si="0"/>
        <v>993.43328856077142</v>
      </c>
      <c r="K8" s="89">
        <f>G5</f>
        <v>2838.380824459347</v>
      </c>
      <c r="W8" s="78" t="s">
        <v>40</v>
      </c>
      <c r="X8" s="8">
        <v>0.15</v>
      </c>
      <c r="Y8" s="8">
        <v>0.2</v>
      </c>
      <c r="Z8" s="8">
        <v>0.3</v>
      </c>
      <c r="AA8" s="8">
        <v>0.35</v>
      </c>
    </row>
    <row r="9" spans="1:31">
      <c r="B9" s="123" t="s">
        <v>36</v>
      </c>
      <c r="C9" s="123"/>
      <c r="D9" s="123"/>
      <c r="E9" s="123"/>
      <c r="F9" s="123"/>
      <c r="G9" s="87">
        <f t="shared" si="0"/>
        <v>632.84891579537327</v>
      </c>
      <c r="H9" s="87">
        <f t="shared" si="0"/>
        <v>843.79855439383107</v>
      </c>
      <c r="I9" s="87">
        <f t="shared" si="0"/>
        <v>1265.6978315907465</v>
      </c>
      <c r="J9" s="87">
        <f t="shared" si="0"/>
        <v>1476.6474701892041</v>
      </c>
      <c r="K9" s="89">
        <f>N5</f>
        <v>4218.992771969155</v>
      </c>
      <c r="W9" s="78" t="s">
        <v>41</v>
      </c>
      <c r="X9" s="86">
        <v>0.25</v>
      </c>
      <c r="Y9" s="86">
        <v>0.25</v>
      </c>
      <c r="Z9" s="86">
        <v>0.25</v>
      </c>
      <c r="AA9" s="86">
        <v>0.25</v>
      </c>
    </row>
    <row r="10" spans="1:31">
      <c r="B10" s="123" t="s">
        <v>37</v>
      </c>
      <c r="C10" s="123"/>
      <c r="D10" s="123"/>
      <c r="E10" s="123"/>
      <c r="F10" s="123"/>
      <c r="G10" s="87">
        <f t="shared" si="0"/>
        <v>618.84396053572459</v>
      </c>
      <c r="H10" s="87">
        <f t="shared" si="0"/>
        <v>825.12528071429961</v>
      </c>
      <c r="I10" s="87">
        <f t="shared" si="0"/>
        <v>1237.6879210714492</v>
      </c>
      <c r="J10" s="87">
        <f t="shared" si="0"/>
        <v>1443.969241250024</v>
      </c>
      <c r="K10" s="89">
        <f>U5</f>
        <v>4125.6264035714976</v>
      </c>
      <c r="W10" s="78" t="s">
        <v>44</v>
      </c>
      <c r="X10" s="8">
        <v>0.35</v>
      </c>
      <c r="Y10" s="8">
        <v>0.3</v>
      </c>
      <c r="Z10" s="8">
        <v>0.2</v>
      </c>
      <c r="AA10" s="8">
        <v>0.15</v>
      </c>
    </row>
  </sheetData>
  <sheetProtection algorithmName="SHA-512" hashValue="L3X7hcNkt5pg3IBW6r8OTb9uS5J2rY+GfccgsjkQq2HgIr/EkJV7jmrAiF8GvnXbxpxM6W3Z+JN5kGlLxRKqyA==" saltValue="b5ypP7s5gv8qcnGVz3Dm8g==" spinCount="100000" sheet="1" objects="1" scenarios="1"/>
  <mergeCells count="8">
    <mergeCell ref="P3:U3"/>
    <mergeCell ref="B1:O1"/>
    <mergeCell ref="B8:F8"/>
    <mergeCell ref="B9:F9"/>
    <mergeCell ref="B10:F10"/>
    <mergeCell ref="B7:F7"/>
    <mergeCell ref="B3:F3"/>
    <mergeCell ref="I3:M3"/>
  </mergeCells>
  <conditionalFormatting sqref="C5:G5 J5:N5 Q5:U5">
    <cfRule type="cellIs" dxfId="28" priority="4" operator="equal">
      <formula>0</formula>
    </cfRule>
  </conditionalFormatting>
  <conditionalFormatting sqref="G8:J8">
    <cfRule type="colorScale" priority="3">
      <colorScale>
        <cfvo type="min"/>
        <cfvo type="percentile" val="50"/>
        <cfvo type="max"/>
        <color rgb="FFF8696B"/>
        <color rgb="FFFFEB84"/>
        <color rgb="FF63BE7B"/>
      </colorScale>
    </cfRule>
  </conditionalFormatting>
  <conditionalFormatting sqref="G9:J9">
    <cfRule type="colorScale" priority="2">
      <colorScale>
        <cfvo type="min"/>
        <cfvo type="percentile" val="50"/>
        <cfvo type="max"/>
        <color rgb="FFF8696B"/>
        <color rgb="FFFFEB84"/>
        <color rgb="FF63BE7B"/>
      </colorScale>
    </cfRule>
  </conditionalFormatting>
  <conditionalFormatting sqref="G10:J10">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X4" xr:uid="{F5CA68B2-E9AE-4F58-A87E-59F340B9C5DE}">
      <formula1>$W$8:$W$10</formula1>
    </dataValidation>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D102-F2CE-4C26-8369-8ED8DEA126DD}">
  <sheetPr codeName="Sheet7">
    <tabColor theme="9" tint="-0.249977111117893"/>
  </sheetPr>
  <dimension ref="B2:Q41"/>
  <sheetViews>
    <sheetView rightToLeft="1" zoomScale="70" zoomScaleNormal="70" workbookViewId="0">
      <selection activeCell="L5" sqref="L5"/>
    </sheetView>
  </sheetViews>
  <sheetFormatPr defaultColWidth="9" defaultRowHeight="27.75"/>
  <cols>
    <col min="1" max="1" width="9" style="16" customWidth="1"/>
    <col min="2" max="2" width="4.625" style="16" bestFit="1" customWidth="1"/>
    <col min="3" max="3" width="7" style="16" bestFit="1" customWidth="1"/>
    <col min="4" max="4" width="13.625" style="16" bestFit="1" customWidth="1"/>
    <col min="5" max="5" width="8.375" style="16" bestFit="1" customWidth="1"/>
    <col min="6" max="9" width="18.375" style="16" bestFit="1" customWidth="1"/>
    <col min="10" max="10" width="20.375" style="16" bestFit="1" customWidth="1"/>
    <col min="11" max="11" width="14.375" style="16" bestFit="1" customWidth="1"/>
    <col min="12" max="12" width="24.125" style="16" bestFit="1" customWidth="1"/>
    <col min="13" max="13" width="9" style="16"/>
    <col min="14" max="15" width="13.125" style="16" bestFit="1" customWidth="1"/>
    <col min="16" max="16" width="22.5" style="16" bestFit="1" customWidth="1"/>
    <col min="17" max="17" width="10.375" style="16" bestFit="1" customWidth="1"/>
    <col min="18" max="16384" width="9" style="16"/>
  </cols>
  <sheetData>
    <row r="2" spans="2:17" ht="28.5" thickBot="1">
      <c r="B2" s="127" t="s">
        <v>13</v>
      </c>
      <c r="C2" s="127"/>
      <c r="D2" s="128"/>
      <c r="E2" s="13">
        <v>8</v>
      </c>
      <c r="F2" s="13">
        <v>9</v>
      </c>
      <c r="G2" s="13">
        <v>10</v>
      </c>
      <c r="H2" s="13">
        <v>11</v>
      </c>
      <c r="I2" s="14">
        <v>12</v>
      </c>
      <c r="J2" s="15" t="s">
        <v>47</v>
      </c>
      <c r="L2" s="17"/>
      <c r="M2" s="17"/>
    </row>
    <row r="3" spans="2:17" ht="27.75" customHeight="1">
      <c r="B3" s="129">
        <v>1</v>
      </c>
      <c r="C3" s="130" t="s">
        <v>14</v>
      </c>
      <c r="D3" s="131"/>
      <c r="E3" s="18"/>
      <c r="F3" s="19">
        <f>'DATA 2'!G8</f>
        <v>425.75712366890201</v>
      </c>
      <c r="G3" s="19">
        <f>'DATA 2'!H8</f>
        <v>567.67616489186946</v>
      </c>
      <c r="H3" s="19">
        <f>'DATA 2'!I8</f>
        <v>851.51424733780402</v>
      </c>
      <c r="I3" s="19">
        <f>'DATA 2'!J8</f>
        <v>993.43328856077142</v>
      </c>
      <c r="J3" s="100"/>
      <c r="L3" s="20"/>
    </row>
    <row r="4" spans="2:17" ht="27.75" customHeight="1">
      <c r="B4" s="129"/>
      <c r="C4" s="21" t="s">
        <v>15</v>
      </c>
      <c r="D4" s="21">
        <f>SUM(F4:I4)</f>
        <v>2800</v>
      </c>
      <c r="E4" s="22"/>
      <c r="F4" s="23">
        <v>700</v>
      </c>
      <c r="G4" s="23">
        <v>700</v>
      </c>
      <c r="H4" s="23">
        <v>700</v>
      </c>
      <c r="I4" s="23">
        <v>700</v>
      </c>
      <c r="J4" s="101">
        <f>SUM(F4:I4)-SUM(F3:I3)</f>
        <v>-38.380824459346968</v>
      </c>
    </row>
    <row r="5" spans="2:17" ht="27.75" customHeight="1">
      <c r="B5" s="129"/>
      <c r="C5" s="25" t="s">
        <v>16</v>
      </c>
      <c r="D5" s="26">
        <f>DATA!E9</f>
        <v>50</v>
      </c>
      <c r="E5" s="27"/>
      <c r="F5" s="28">
        <f>D5-F3+F4</f>
        <v>324.24287633109799</v>
      </c>
      <c r="G5" s="29">
        <f>F5-G3+G4</f>
        <v>456.56671143922853</v>
      </c>
      <c r="H5" s="29">
        <f>G5-H3+H4</f>
        <v>305.0524641014245</v>
      </c>
      <c r="I5" s="30">
        <f>H5-I3+I4</f>
        <v>11.619175540653032</v>
      </c>
      <c r="J5" s="31"/>
    </row>
    <row r="6" spans="2:17" ht="27.75" customHeight="1" thickBot="1">
      <c r="B6" s="132">
        <v>2</v>
      </c>
      <c r="C6" s="133" t="s">
        <v>14</v>
      </c>
      <c r="D6" s="134"/>
      <c r="E6" s="32"/>
      <c r="F6" s="33">
        <f>'DATA 2'!G9</f>
        <v>632.84891579537327</v>
      </c>
      <c r="G6" s="33">
        <f>'DATA 2'!H9</f>
        <v>843.79855439383107</v>
      </c>
      <c r="H6" s="33">
        <f>'DATA 2'!I9</f>
        <v>1265.6978315907465</v>
      </c>
      <c r="I6" s="33">
        <f>'DATA 2'!J9</f>
        <v>1476.6474701892041</v>
      </c>
      <c r="J6" s="101"/>
      <c r="N6" s="34" t="s">
        <v>9</v>
      </c>
      <c r="O6" s="34" t="s">
        <v>8</v>
      </c>
      <c r="P6" s="35" t="s">
        <v>48</v>
      </c>
    </row>
    <row r="7" spans="2:17" ht="27.75" customHeight="1" thickBot="1">
      <c r="B7" s="132"/>
      <c r="C7" s="36" t="s">
        <v>15</v>
      </c>
      <c r="D7" s="36">
        <f>SUM(F7:I7)</f>
        <v>4200</v>
      </c>
      <c r="E7" s="37"/>
      <c r="F7" s="24">
        <v>1050</v>
      </c>
      <c r="G7" s="24">
        <v>1050</v>
      </c>
      <c r="H7" s="24">
        <v>1050</v>
      </c>
      <c r="I7" s="24">
        <v>1050</v>
      </c>
      <c r="J7" s="101">
        <f>SUM(F7:I7)-SUM(F6:I6)</f>
        <v>-18.992771969155001</v>
      </c>
      <c r="L7" s="38" t="s">
        <v>17</v>
      </c>
      <c r="N7" s="72">
        <f>DATA!M9</f>
        <v>0.97499999999999998</v>
      </c>
      <c r="O7" s="72">
        <f>DATA!M8</f>
        <v>0.95</v>
      </c>
      <c r="P7" s="81">
        <f>DATA!G6/4</f>
        <v>8736</v>
      </c>
    </row>
    <row r="8" spans="2:17" ht="27.75" customHeight="1" thickBot="1">
      <c r="B8" s="132"/>
      <c r="C8" s="39" t="s">
        <v>16</v>
      </c>
      <c r="D8" s="102">
        <f>DATA!E10</f>
        <v>90</v>
      </c>
      <c r="E8" s="40"/>
      <c r="F8" s="41">
        <f>D8-F6+F7</f>
        <v>507.15108420462673</v>
      </c>
      <c r="G8" s="42">
        <f>F8-G6+G7</f>
        <v>713.35252981079566</v>
      </c>
      <c r="H8" s="42">
        <f>G8-H6+H7</f>
        <v>497.65469822004911</v>
      </c>
      <c r="I8" s="43">
        <f>H8-I6+I7</f>
        <v>71.007228030844999</v>
      </c>
      <c r="J8" s="31"/>
      <c r="L8" s="104">
        <f>J17+J18+J20</f>
        <v>74034800.000000015</v>
      </c>
    </row>
    <row r="9" spans="2:17" ht="27.75" customHeight="1">
      <c r="B9" s="129">
        <v>3</v>
      </c>
      <c r="C9" s="135" t="s">
        <v>14</v>
      </c>
      <c r="D9" s="136"/>
      <c r="E9" s="44"/>
      <c r="F9" s="45">
        <f>'DATA 2'!G10</f>
        <v>618.84396053572459</v>
      </c>
      <c r="G9" s="45">
        <f>'DATA 2'!H10</f>
        <v>825.12528071429961</v>
      </c>
      <c r="H9" s="45">
        <f>'DATA 2'!I10</f>
        <v>1237.6879210714492</v>
      </c>
      <c r="I9" s="45">
        <f>'DATA 2'!J10</f>
        <v>1443.969241250024</v>
      </c>
      <c r="J9" s="101"/>
      <c r="L9" s="124" t="str">
        <f>IF(MIN(F12:I12,F25:I25,F30:I30,F35:I35)=0,"‌ ✓","x infeasible")</f>
        <v>‌ ✓</v>
      </c>
    </row>
    <row r="10" spans="2:17" ht="27.75" customHeight="1" thickBot="1">
      <c r="B10" s="129"/>
      <c r="C10" s="21" t="s">
        <v>15</v>
      </c>
      <c r="D10" s="21">
        <f>SUM(F10:I10)</f>
        <v>4080</v>
      </c>
      <c r="E10" s="22"/>
      <c r="F10" s="23">
        <v>1020</v>
      </c>
      <c r="G10" s="23">
        <v>1020</v>
      </c>
      <c r="H10" s="23">
        <v>1020</v>
      </c>
      <c r="I10" s="23">
        <v>1020</v>
      </c>
      <c r="J10" s="101">
        <f>SUM(F10:I10)-SUM(F9:I9)</f>
        <v>-45.626403571497576</v>
      </c>
      <c r="L10" s="125"/>
    </row>
    <row r="11" spans="2:17" ht="28.5" customHeight="1" thickBot="1">
      <c r="B11" s="129"/>
      <c r="C11" s="25" t="s">
        <v>16</v>
      </c>
      <c r="D11" s="47">
        <f>DATA!E11</f>
        <v>70</v>
      </c>
      <c r="E11" s="48"/>
      <c r="F11" s="49">
        <f>D11-F9+F10</f>
        <v>471.15603946427541</v>
      </c>
      <c r="G11" s="50">
        <f>F11-G9+G10</f>
        <v>666.0307587499758</v>
      </c>
      <c r="H11" s="50">
        <f>G11-H9+H10</f>
        <v>448.34283767852662</v>
      </c>
      <c r="I11" s="51">
        <f>H11-I9+I10</f>
        <v>24.373596428502651</v>
      </c>
      <c r="J11" s="31"/>
      <c r="N11" s="46">
        <v>3</v>
      </c>
      <c r="O11" s="46">
        <v>2</v>
      </c>
      <c r="P11" s="46">
        <v>1</v>
      </c>
      <c r="Q11" s="52" t="s">
        <v>18</v>
      </c>
    </row>
    <row r="12" spans="2:17">
      <c r="D12" s="53" t="s">
        <v>55</v>
      </c>
      <c r="E12" s="54"/>
      <c r="F12" s="55">
        <f>$P$7*$O$7*$N$7-F19-(F4*$P$17+F7*$O$17+F10*$N$17)</f>
        <v>2925.8866666666654</v>
      </c>
      <c r="G12" s="55">
        <f t="shared" ref="G12:I12" si="0">$P$7*$O$7*$N$7-G19-(G4*$P$17+G7*$O$17+G10*$N$17)</f>
        <v>2928.286666666665</v>
      </c>
      <c r="H12" s="55">
        <f t="shared" si="0"/>
        <v>2927.9866666666658</v>
      </c>
      <c r="I12" s="55">
        <f t="shared" si="0"/>
        <v>2927.9866666666658</v>
      </c>
      <c r="J12" s="109">
        <f>SUM(F12:I12)</f>
        <v>11710.146666666662</v>
      </c>
      <c r="N12" s="98">
        <f>DATA!C14</f>
        <v>-255000</v>
      </c>
      <c r="O12" s="98">
        <f>DATA!D14</f>
        <v>-255000</v>
      </c>
      <c r="P12" s="98">
        <f>DATA!E14</f>
        <v>-255000</v>
      </c>
      <c r="Q12" s="57" t="s">
        <v>19</v>
      </c>
    </row>
    <row r="13" spans="2:17">
      <c r="D13" s="58" t="s">
        <v>20</v>
      </c>
      <c r="E13" s="59"/>
      <c r="F13" s="59">
        <f>COUNTIF(F4:F10,"&gt;0")-COUNTIF(F5:F6,"&gt;0")-COUNTIF(F8:F9,"&gt;0")-IF(OR(AND(F4&gt;0,E4&gt;0),AND(F7&gt;0,E7&gt;0),AND(F10&gt;0,E10&gt;0)),1,0)</f>
        <v>3</v>
      </c>
      <c r="G13" s="59">
        <f t="shared" ref="G13:I13" si="1">COUNTIF(G4:G10,"&gt;0")-COUNTIF(G5:G6,"&gt;0")-COUNTIF(G8:G9,"&gt;0")-IF(OR(AND(G4&gt;0,F4&gt;0),AND(G7&gt;0,F7&gt;0),AND(G10&gt;0,F10&gt;0)),1,0)</f>
        <v>2</v>
      </c>
      <c r="H13" s="59">
        <f t="shared" si="1"/>
        <v>2</v>
      </c>
      <c r="I13" s="59">
        <f t="shared" si="1"/>
        <v>2</v>
      </c>
      <c r="J13" s="60"/>
      <c r="N13" s="98">
        <f>DATA!C15</f>
        <v>16000</v>
      </c>
      <c r="O13" s="98">
        <f>DATA!D15</f>
        <v>16000</v>
      </c>
      <c r="P13" s="98">
        <f>DATA!E15</f>
        <v>16000</v>
      </c>
      <c r="Q13" s="57" t="s">
        <v>21</v>
      </c>
    </row>
    <row r="14" spans="2:17">
      <c r="D14" s="58" t="s">
        <v>22</v>
      </c>
      <c r="E14" s="59"/>
      <c r="F14" s="112" t="str">
        <f>IF(AND(F4&gt;0,E4&gt;0),"1, ","")&amp;IF(AND(F7&gt;0,E7&gt;0),"2, ","")&amp;IF(AND(F10&gt;0,E10&gt;0),"3, ","")</f>
        <v/>
      </c>
      <c r="G14" s="112" t="str">
        <f t="shared" ref="G14:H14" si="2">IF(AND(G4&gt;0,F4&gt;0),"1, ","")&amp;IF(AND(G7&gt;0,F7&gt;0),"2, ","")&amp;IF(AND(G10&gt;0,F10&gt;0),"3, ","")</f>
        <v xml:space="preserve">1, 2, 3, </v>
      </c>
      <c r="H14" s="112" t="str">
        <f t="shared" si="2"/>
        <v xml:space="preserve">1, 2, 3, </v>
      </c>
      <c r="I14" s="112" t="str">
        <f>IF(AND(I4&gt;0,H4&gt;0),"1, ","")&amp;IF(AND(I7&gt;0,H7&gt;0),"2, ","")&amp;IF(AND(I10&gt;0,H10&gt;0),"3, ","")</f>
        <v xml:space="preserve">1, 2, 3, </v>
      </c>
      <c r="J14" s="60"/>
      <c r="N14" s="98">
        <f>DATA!C16</f>
        <v>230000</v>
      </c>
      <c r="O14" s="98">
        <f>DATA!D16</f>
        <v>210000</v>
      </c>
      <c r="P14" s="98">
        <f>DATA!E16</f>
        <v>250000</v>
      </c>
      <c r="Q14" s="57" t="s">
        <v>23</v>
      </c>
    </row>
    <row r="15" spans="2:17">
      <c r="D15" s="58" t="s">
        <v>24</v>
      </c>
      <c r="E15" s="59"/>
      <c r="F15" s="110" t="s">
        <v>25</v>
      </c>
      <c r="G15" s="111" t="s">
        <v>26</v>
      </c>
      <c r="H15" s="110" t="s">
        <v>27</v>
      </c>
      <c r="I15" s="110" t="s">
        <v>27</v>
      </c>
      <c r="J15" s="60"/>
      <c r="L15" s="61"/>
      <c r="N15" s="103">
        <f>DATA!C17</f>
        <v>3</v>
      </c>
      <c r="O15" s="103">
        <f>DATA!D17</f>
        <v>2.1</v>
      </c>
      <c r="P15" s="103">
        <f>DATA!E17</f>
        <v>2.4</v>
      </c>
      <c r="Q15" s="57" t="s">
        <v>28</v>
      </c>
    </row>
    <row r="16" spans="2:17" hidden="1">
      <c r="D16" s="58"/>
      <c r="E16" s="59">
        <f>IFERROR(VALUE(E15),0)</f>
        <v>0</v>
      </c>
      <c r="F16" s="59">
        <f>IFERROR(VALUE(F15),0)</f>
        <v>0</v>
      </c>
      <c r="G16" s="59">
        <f t="shared" ref="G16:I16" si="3">IFERROR(VALUE(G15),0)</f>
        <v>1</v>
      </c>
      <c r="H16" s="59">
        <f t="shared" si="3"/>
        <v>2</v>
      </c>
      <c r="I16" s="59">
        <f t="shared" si="3"/>
        <v>2</v>
      </c>
      <c r="J16" s="60"/>
      <c r="N16" s="62">
        <v>0</v>
      </c>
      <c r="O16" s="62">
        <v>0</v>
      </c>
      <c r="P16" s="62">
        <v>0</v>
      </c>
      <c r="Q16" s="57" t="s">
        <v>29</v>
      </c>
    </row>
    <row r="17" spans="4:17">
      <c r="D17" s="63" t="s">
        <v>30</v>
      </c>
      <c r="E17" s="59"/>
      <c r="F17" s="81">
        <f>IF(F5&lt;0,F5*$P$12,F5*$P$13)+IF(F8&lt;0,F8*$O$12,F8*$O$13)+IF(F11&lt;0,F11*$N$12,F11*$N$13)</f>
        <v>20840800</v>
      </c>
      <c r="G17" s="81">
        <f>IF(G5&lt;0,G5*$P$12,G5*$P$13)+IF(G8&lt;0,G8*$O$12,G8*$O$13)+IF(G11&lt;0,G11*$N$12,G11*$N$13)</f>
        <v>29375200</v>
      </c>
      <c r="H17" s="81">
        <f>IF(H5&lt;0,H5*$P$12,H5*$P$13)+IF(H8&lt;0,H8*$O$12,H8*$O$13)+IF(H11&lt;0,H11*$N$12,H11*$N$13)</f>
        <v>20016800.000000004</v>
      </c>
      <c r="I17" s="107">
        <f>IF(I5&lt;0,I5*$P$12,I5*$P$13)+IF(I8&lt;0,I8*$O$12,I8*$O$13)+IF(I11&lt;0,I11*$N$12,I11*$N$13)</f>
        <v>1712000.0000000107</v>
      </c>
      <c r="J17" s="108">
        <f>SUM(F17:I17)</f>
        <v>71944800.000000015</v>
      </c>
      <c r="N17" s="97">
        <f>DATA!D11/60</f>
        <v>2.0833333333333335</v>
      </c>
      <c r="O17" s="97">
        <f>DATA!D10/60</f>
        <v>1.8333333333333333</v>
      </c>
      <c r="P17" s="97">
        <f>DATA!D9/60</f>
        <v>1.5833333333333333</v>
      </c>
      <c r="Q17" s="57" t="s">
        <v>11</v>
      </c>
    </row>
    <row r="18" spans="4:17">
      <c r="D18" s="64" t="s">
        <v>31</v>
      </c>
      <c r="E18" s="59"/>
      <c r="F18" s="81">
        <f>IF(F4&gt;0,$P$14,0)+IF(F7&gt;0,$O$14,0)+IF(F10&gt;0,$N$14,0)-IFERROR(INDEX($N$11:$P$14,4,MATCH(F16,$N$11:$P$11,0)),0)</f>
        <v>690000</v>
      </c>
      <c r="G18" s="81">
        <f t="shared" ref="G18:I18" si="4">IF(G4&gt;0,$P$14,0)+IF(G7&gt;0,$O$14,0)+IF(G10&gt;0,$N$14,0)-IFERROR(INDEX($N$11:$P$14,4,MATCH(G16,$N$11:$P$11,0)),0)</f>
        <v>440000</v>
      </c>
      <c r="H18" s="81">
        <f t="shared" si="4"/>
        <v>480000</v>
      </c>
      <c r="I18" s="81">
        <f t="shared" si="4"/>
        <v>480000</v>
      </c>
      <c r="J18" s="108">
        <f>SUM(F18:I18)</f>
        <v>2090000</v>
      </c>
      <c r="N18" s="99"/>
      <c r="O18" s="99"/>
      <c r="P18" s="99"/>
    </row>
    <row r="19" spans="4:17">
      <c r="D19" s="64" t="s">
        <v>32</v>
      </c>
      <c r="E19" s="59"/>
      <c r="F19" s="113">
        <f>IF(F4&gt;0,$P$15,0)+IF(F7&gt;0,$O$15,0)+IF(F10&gt;0,$N$15,0)-IFERROR(INDEX($N$11:$P$15,5,MATCH(F16,$N$11:$P$11,0)),0)</f>
        <v>7.5</v>
      </c>
      <c r="G19" s="113">
        <f t="shared" ref="G19:I19" si="5">IF(G4&gt;0,$P$15,0)+IF(G7&gt;0,$O$15,0)+IF(G10&gt;0,$N$15,0)-IFERROR(INDEX($N$11:$P$15,5,MATCH(G16,$N$11:$P$11,0)),0)</f>
        <v>5.0999999999999996</v>
      </c>
      <c r="H19" s="113">
        <f t="shared" si="5"/>
        <v>5.4</v>
      </c>
      <c r="I19" s="113">
        <f t="shared" si="5"/>
        <v>5.4</v>
      </c>
      <c r="J19" s="65">
        <f t="shared" ref="J19:J20" si="6">SUM(F19:I19)</f>
        <v>23.4</v>
      </c>
    </row>
    <row r="20" spans="4:17" ht="28.5" hidden="1" thickBot="1">
      <c r="D20" s="66" t="s">
        <v>29</v>
      </c>
      <c r="E20" s="67"/>
      <c r="F20" s="68">
        <f>F4*$P$16+F7*$O$16+F10*$N$16</f>
        <v>0</v>
      </c>
      <c r="G20" s="68">
        <f>G4*$P$16+G7*$O$16+G10*$N$16</f>
        <v>0</v>
      </c>
      <c r="H20" s="68">
        <f>H4*$P$16+H7*$O$16+H10*$N$16</f>
        <v>0</v>
      </c>
      <c r="I20" s="69">
        <f>I4*$P$16+I7*$O$16+I10*$N$16</f>
        <v>0</v>
      </c>
      <c r="J20" s="70">
        <f t="shared" si="6"/>
        <v>0</v>
      </c>
    </row>
    <row r="22" spans="4:17">
      <c r="F22" s="16">
        <f t="shared" ref="F22:I22" si="7">F2</f>
        <v>9</v>
      </c>
      <c r="G22" s="16">
        <f t="shared" si="7"/>
        <v>10</v>
      </c>
      <c r="H22" s="16">
        <f t="shared" si="7"/>
        <v>11</v>
      </c>
      <c r="I22" s="16">
        <f t="shared" si="7"/>
        <v>12</v>
      </c>
    </row>
    <row r="23" spans="4:17">
      <c r="D23" s="126">
        <v>1</v>
      </c>
      <c r="E23" s="52" t="s">
        <v>52</v>
      </c>
      <c r="F23" s="71">
        <f>MAX(0,IF(VLOOKUP($E23,[1]DATA!$G$8:$I$10,3,FALSE)=1,MIN(VLOOKUP($E23,[1]DATA!$G$8:$J$10,4,TRUE),VLOOKUP($E23,[1]DATA!$G$8:$J$10,2,TRUE)*F$4),MIN(VLOOKUP($E23,[1]DATA!$G$8:$J$10,4,TRUE),F$4-F24)))</f>
        <v>245</v>
      </c>
      <c r="G23" s="71">
        <f>MAX(0,IF(VLOOKUP($E23,[1]DATA!$G$8:$I$10,3,FALSE)=1,MIN(VLOOKUP($E23,[1]DATA!$G$8:$J$10,4,TRUE),VLOOKUP($E23,[1]DATA!$G$8:$J$10,2,TRUE)*G$4),MIN(VLOOKUP($E23,[1]DATA!$G$8:$J$10,4,TRUE),G$4-G24)))</f>
        <v>245</v>
      </c>
      <c r="H23" s="71">
        <f>MAX(0,IF(VLOOKUP($E23,[1]DATA!$G$8:$I$10,3,FALSE)=1,MIN(VLOOKUP($E23,[1]DATA!$G$8:$J$10,4,TRUE),VLOOKUP($E23,[1]DATA!$G$8:$J$10,2,TRUE)*H$4),MIN(VLOOKUP($E23,[1]DATA!$G$8:$J$10,4,TRUE),H$4-H24)))</f>
        <v>245</v>
      </c>
      <c r="I23" s="71">
        <f>MAX(0,IF(VLOOKUP($E23,[1]DATA!$G$8:$I$10,3,FALSE)=1,MIN(VLOOKUP($E23,[1]DATA!$G$8:$J$10,4,TRUE),VLOOKUP($E23,[1]DATA!$G$8:$J$10,2,TRUE)*I$4),MIN(VLOOKUP($E23,[1]DATA!$G$8:$J$10,4,TRUE),I$4-I24)))</f>
        <v>245</v>
      </c>
    </row>
    <row r="24" spans="4:17">
      <c r="D24" s="126"/>
      <c r="E24" s="52" t="s">
        <v>53</v>
      </c>
      <c r="F24" s="71">
        <f>MAX(0,IF(VLOOKUP($E24,[1]DATA!$G$8:$I$10,3,FALSE)=1,MIN(VLOOKUP($E24,[1]DATA!$G$8:$J$10,4,TRUE),VLOOKUP($E24,[1]DATA!$G$8:$J$10,2,TRUE)*F$4),MIN(VLOOKUP($E24,[1]DATA!$G$8:$J$10,4,TRUE),F$4-F25)))</f>
        <v>455</v>
      </c>
      <c r="G24" s="71">
        <f>MAX(0,IF(VLOOKUP($E24,[1]DATA!$G$8:$I$10,3,FALSE)=1,MIN(VLOOKUP($E24,[1]DATA!$G$8:$J$10,4,TRUE),VLOOKUP($E24,[1]DATA!$G$8:$J$10,2,TRUE)*G$4),MIN(VLOOKUP($E24,[1]DATA!$G$8:$J$10,4,TRUE),G$4-G25)))</f>
        <v>455</v>
      </c>
      <c r="H24" s="71">
        <f>MAX(0,IF(VLOOKUP($E24,[1]DATA!$G$8:$I$10,3,FALSE)=1,MIN(VLOOKUP($E24,[1]DATA!$G$8:$J$10,4,TRUE),VLOOKUP($E24,[1]DATA!$G$8:$J$10,2,TRUE)*H$4),MIN(VLOOKUP($E24,[1]DATA!$G$8:$J$10,4,TRUE),H$4-H25)))</f>
        <v>455</v>
      </c>
      <c r="I24" s="71">
        <f>MAX(0,IF(VLOOKUP($E24,[1]DATA!$G$8:$I$10,3,FALSE)=1,MIN(VLOOKUP($E24,[1]DATA!$G$8:$J$10,4,TRUE),VLOOKUP($E24,[1]DATA!$G$8:$J$10,2,TRUE)*I$4),MIN(VLOOKUP($E24,[1]DATA!$G$8:$J$10,4,TRUE),I$4-I25)))</f>
        <v>455</v>
      </c>
    </row>
    <row r="25" spans="4:17">
      <c r="E25" s="119" t="s">
        <v>54</v>
      </c>
      <c r="F25" s="61">
        <f>SUM(F23:F24)-F4</f>
        <v>0</v>
      </c>
      <c r="G25" s="61">
        <f>SUM(G23:G24)-G4</f>
        <v>0</v>
      </c>
      <c r="H25" s="61">
        <f>SUM(H23:H24)-H4</f>
        <v>0</v>
      </c>
      <c r="I25" s="61">
        <f>SUM(I23:I24)-I4</f>
        <v>0</v>
      </c>
    </row>
    <row r="26" spans="4:17">
      <c r="E26" s="119"/>
      <c r="F26" s="61"/>
      <c r="G26" s="61"/>
      <c r="H26" s="61"/>
      <c r="I26" s="61"/>
    </row>
    <row r="27" spans="4:17">
      <c r="F27" s="61">
        <f t="shared" ref="F27:I27" si="8">F2</f>
        <v>9</v>
      </c>
      <c r="G27" s="61">
        <f t="shared" si="8"/>
        <v>10</v>
      </c>
      <c r="H27" s="61">
        <f t="shared" si="8"/>
        <v>11</v>
      </c>
      <c r="I27" s="61">
        <f t="shared" si="8"/>
        <v>12</v>
      </c>
    </row>
    <row r="28" spans="4:17">
      <c r="D28" s="126">
        <v>2</v>
      </c>
      <c r="E28" s="52" t="s">
        <v>52</v>
      </c>
      <c r="F28" s="71">
        <f>MAX(0,IF(VLOOKUP($E28,[1]DATA!$G$8:$I$10,3,FALSE)=1,MIN(VLOOKUP($E28,[1]DATA!$G$8:$J$10,4,TRUE)-F23,VLOOKUP($E28,[1]DATA!$G$8:$J$10,2,TRUE)*F$7),MIN(VLOOKUP($E28,[1]DATA!$G$8:$J$10,4,TRUE)-F23,F$7-F29)))</f>
        <v>367.5</v>
      </c>
      <c r="G28" s="71">
        <f>MAX(0,IF(VLOOKUP($E28,[1]DATA!$G$8:$I$10,3,FALSE)=1,MIN(VLOOKUP($E28,[1]DATA!$G$8:$J$10,4,TRUE)-G23,VLOOKUP($E28,[1]DATA!$G$8:$J$10,2,TRUE)*G$7),MIN(VLOOKUP($E28,[1]DATA!$G$8:$J$10,4,TRUE)-G23,G$7-G29)))</f>
        <v>367.5</v>
      </c>
      <c r="H28" s="71">
        <f>MAX(0,IF(VLOOKUP($E28,[1]DATA!$G$8:$I$10,3,FALSE)=1,MIN(VLOOKUP($E28,[1]DATA!$G$8:$J$10,4,TRUE)-H23,VLOOKUP($E28,[1]DATA!$G$8:$J$10,2,TRUE)*H$7),MIN(VLOOKUP($E28,[1]DATA!$G$8:$J$10,4,TRUE)-H23,H$7-H29)))</f>
        <v>367.5</v>
      </c>
      <c r="I28" s="71">
        <f>MAX(0,IF(VLOOKUP($E28,[1]DATA!$G$8:$I$10,3,FALSE)=1,MIN(VLOOKUP($E28,[1]DATA!$G$8:$J$10,4,TRUE)-I23,VLOOKUP($E28,[1]DATA!$G$8:$J$10,2,TRUE)*I$7),MIN(VLOOKUP($E28,[1]DATA!$G$8:$J$10,4,TRUE)-I23,I$7-I29)))</f>
        <v>367.5</v>
      </c>
    </row>
    <row r="29" spans="4:17">
      <c r="D29" s="126"/>
      <c r="E29" s="52" t="s">
        <v>53</v>
      </c>
      <c r="F29" s="71">
        <f>MAX(0,IF(VLOOKUP($E29,[1]DATA!$G$8:$I$10,3,FALSE)=1,MIN(VLOOKUP($E29,[1]DATA!$G$8:$J$10,4,TRUE)-F24,VLOOKUP($E29,[1]DATA!$G$8:$J$10,2,TRUE)*F$7),MIN(VLOOKUP($E29,[1]DATA!$G$8:$J$10,4,TRUE)-F24,F$7-F30)))</f>
        <v>682.5</v>
      </c>
      <c r="G29" s="71">
        <f>MAX(0,IF(VLOOKUP($E29,[1]DATA!$G$8:$I$10,3,FALSE)=1,MIN(VLOOKUP($E29,[1]DATA!$G$8:$J$10,4,TRUE)-G24,VLOOKUP($E29,[1]DATA!$G$8:$J$10,2,TRUE)*G$7),MIN(VLOOKUP($E29,[1]DATA!$G$8:$J$10,4,TRUE)-G24,G$7-G30)))</f>
        <v>682.5</v>
      </c>
      <c r="H29" s="71">
        <f>MAX(0,IF(VLOOKUP($E29,[1]DATA!$G$8:$I$10,3,FALSE)=1,MIN(VLOOKUP($E29,[1]DATA!$G$8:$J$10,4,TRUE)-H24,VLOOKUP($E29,[1]DATA!$G$8:$J$10,2,TRUE)*H$7),MIN(VLOOKUP($E29,[1]DATA!$G$8:$J$10,4,TRUE)-H24,H$7-H30)))</f>
        <v>682.5</v>
      </c>
      <c r="I29" s="71">
        <f>MAX(0,IF(VLOOKUP($E29,[1]DATA!$G$8:$I$10,3,FALSE)=1,MIN(VLOOKUP($E29,[1]DATA!$G$8:$J$10,4,TRUE)-I24,VLOOKUP($E29,[1]DATA!$G$8:$J$10,2,TRUE)*I$7),MIN(VLOOKUP($E29,[1]DATA!$G$8:$J$10,4,TRUE)-I24,I$7-I30)))</f>
        <v>682.5</v>
      </c>
    </row>
    <row r="30" spans="4:17">
      <c r="E30" s="119" t="s">
        <v>54</v>
      </c>
      <c r="F30" s="61">
        <f>SUM(F28:F29)-F7</f>
        <v>0</v>
      </c>
      <c r="G30" s="61">
        <f>SUM(G28:G29)-G7</f>
        <v>0</v>
      </c>
      <c r="H30" s="61">
        <f>SUM(H28:H29)-H7</f>
        <v>0</v>
      </c>
      <c r="I30" s="61">
        <f>SUM(I28:I29)-I7</f>
        <v>0</v>
      </c>
    </row>
    <row r="31" spans="4:17">
      <c r="E31" s="119"/>
      <c r="F31" s="61"/>
      <c r="G31" s="61"/>
      <c r="H31" s="61"/>
      <c r="I31" s="61"/>
    </row>
    <row r="32" spans="4:17">
      <c r="F32" s="61">
        <f t="shared" ref="F32:I32" si="9">F2</f>
        <v>9</v>
      </c>
      <c r="G32" s="61">
        <f t="shared" si="9"/>
        <v>10</v>
      </c>
      <c r="H32" s="61">
        <f t="shared" si="9"/>
        <v>11</v>
      </c>
      <c r="I32" s="61">
        <f t="shared" si="9"/>
        <v>12</v>
      </c>
    </row>
    <row r="33" spans="4:10">
      <c r="D33" s="126">
        <v>3</v>
      </c>
      <c r="E33" s="52" t="s">
        <v>52</v>
      </c>
      <c r="F33" s="71">
        <f>MAX(0,IF(VLOOKUP($E33,[1]DATA!$G$8:$I$10,3,FALSE)=1,MIN(VLOOKUP($E33,[1]DATA!$G$8:$J$10,4,TRUE)-F28-F23,VLOOKUP($E33,[1]DATA!$G$8:$J$10,2,TRUE)*F10),MIN(VLOOKUP($E33,[1]DATA!$G$8:$J$10,4,TRUE)-F28-F23,F10-F34)))</f>
        <v>727.5</v>
      </c>
      <c r="G33" s="71">
        <f>MAX(0,IF(VLOOKUP($E33,[1]DATA!$G$8:$I$10,3,FALSE)=1,MIN(VLOOKUP($E33,[1]DATA!$G$8:$J$10,4,TRUE)-G28-G23,VLOOKUP($E33,[1]DATA!$G$8:$J$10,2,TRUE)*G10),MIN(VLOOKUP($E33,[1]DATA!$G$8:$J$10,4,TRUE)-G28-G23,G10-G34)))</f>
        <v>727.5</v>
      </c>
      <c r="H33" s="71">
        <f>MAX(0,IF(VLOOKUP($E33,[1]DATA!$G$8:$I$10,3,FALSE)=1,MIN(VLOOKUP($E33,[1]DATA!$G$8:$J$10,4,TRUE)-H28-H23,VLOOKUP($E33,[1]DATA!$G$8:$J$10,2,TRUE)*H10),MIN(VLOOKUP($E33,[1]DATA!$G$8:$J$10,4,TRUE)-H28-H23,H10-H34)))</f>
        <v>727.5</v>
      </c>
      <c r="I33" s="71">
        <f>MAX(0,IF(VLOOKUP($E33,[1]DATA!$G$8:$I$10,3,FALSE)=1,MIN(VLOOKUP($E33,[1]DATA!$G$8:$J$10,4,TRUE)-I28-I23,VLOOKUP($E33,[1]DATA!$G$8:$J$10,2,TRUE)*I10),MIN(VLOOKUP($E33,[1]DATA!$G$8:$J$10,4,TRUE)-I28-I23,I10-I34)))</f>
        <v>727.5</v>
      </c>
    </row>
    <row r="34" spans="4:10">
      <c r="D34" s="126"/>
      <c r="E34" s="52" t="s">
        <v>53</v>
      </c>
      <c r="F34" s="71">
        <f>MAX(0,IF(VLOOKUP($E34,[1]DATA!$G$8:$I$10,3,FALSE)=1,MIN(VLOOKUP($E34,[1]DATA!$G$8:$J$10,4,TRUE)-F29-F24,VLOOKUP($E34,[1]DATA!$G$8:$J$10,2,TRUE)*F12),MIN(VLOOKUP($E34,[1]DATA!$G$8:$J$10,4,TRUE)-F29-F24,F10-F33)))</f>
        <v>292.5</v>
      </c>
      <c r="G34" s="71">
        <f>MAX(0,IF(VLOOKUP($E34,[1]DATA!$G$8:$I$10,3,FALSE)=1,MIN(VLOOKUP($E34,[1]DATA!$G$8:$J$10,4,TRUE)-G29-G24,VLOOKUP($E34,[1]DATA!$G$8:$J$10,2,TRUE)*G12),MIN(VLOOKUP($E34,[1]DATA!$G$8:$J$10,4,TRUE)-G29-G24,G10-G33)))</f>
        <v>292.5</v>
      </c>
      <c r="H34" s="71">
        <f>MAX(0,IF(VLOOKUP($E34,[1]DATA!$G$8:$I$10,3,FALSE)=1,MIN(VLOOKUP($E34,[1]DATA!$G$8:$J$10,4,TRUE)-H29-H24,VLOOKUP($E34,[1]DATA!$G$8:$J$10,2,TRUE)*H12),MIN(VLOOKUP($E34,[1]DATA!$G$8:$J$10,4,TRUE)-H29-H24,H10-H33)))</f>
        <v>292.5</v>
      </c>
      <c r="I34" s="71">
        <f>MAX(0,IF(VLOOKUP($E34,[1]DATA!$G$8:$I$10,3,FALSE)=1,MIN(VLOOKUP($E34,[1]DATA!$G$8:$J$10,4,TRUE)-I29-I24,VLOOKUP($E34,[1]DATA!$G$8:$J$10,2,TRUE)*I12),MIN(VLOOKUP($E34,[1]DATA!$G$8:$J$10,4,TRUE)-I29-I24,I10-I33)))</f>
        <v>292.5</v>
      </c>
    </row>
    <row r="35" spans="4:10">
      <c r="E35" s="119" t="s">
        <v>54</v>
      </c>
      <c r="F35" s="61">
        <f>SUM(F33:F34)-F10</f>
        <v>0</v>
      </c>
      <c r="G35" s="61">
        <f>SUM(G33:G34)-G10</f>
        <v>0</v>
      </c>
      <c r="H35" s="61">
        <f>SUM(H33:H34)-H10</f>
        <v>0</v>
      </c>
      <c r="I35" s="61">
        <f>SUM(I33:I34)-I10</f>
        <v>0</v>
      </c>
    </row>
    <row r="39" spans="4:10" hidden="1">
      <c r="D39" s="58" t="s">
        <v>22</v>
      </c>
      <c r="E39" s="59"/>
      <c r="F39" s="59" t="str">
        <f>IF(AND(F4&gt;0,E4&gt;0),"1 ","")</f>
        <v/>
      </c>
      <c r="G39" s="59" t="str">
        <f>IF(AND(G4&gt;0,F4&gt;0),"1 ","")</f>
        <v xml:space="preserve">1 </v>
      </c>
      <c r="H39" s="59" t="str">
        <f>IF(AND(H4&gt;0,G4&gt;0),"1 ","")</f>
        <v xml:space="preserve">1 </v>
      </c>
      <c r="I39" s="59" t="str">
        <f>IF(AND(I4&gt;0,H4&gt;0),"1 ","")</f>
        <v xml:space="preserve">1 </v>
      </c>
      <c r="J39" s="60"/>
    </row>
    <row r="40" spans="4:10" hidden="1">
      <c r="D40" s="58" t="s">
        <v>22</v>
      </c>
      <c r="E40" s="59"/>
      <c r="F40" s="59" t="str">
        <f>IF(AND(F7&gt;0,E7&gt;0),"2 ","")</f>
        <v/>
      </c>
      <c r="G40" s="59" t="str">
        <f>IF(AND(G7&gt;0,F7&gt;0),"2 ","")</f>
        <v xml:space="preserve">2 </v>
      </c>
      <c r="H40" s="59" t="str">
        <f>IF(AND(H7&gt;0,G7&gt;0),"2 ","")</f>
        <v xml:space="preserve">2 </v>
      </c>
      <c r="I40" s="59" t="str">
        <f>IF(AND(I7&gt;0,H7&gt;0),"2 ","")</f>
        <v xml:space="preserve">2 </v>
      </c>
      <c r="J40" s="60"/>
    </row>
    <row r="41" spans="4:10" hidden="1">
      <c r="D41" s="58" t="s">
        <v>22</v>
      </c>
      <c r="E41" s="59"/>
      <c r="F41" s="59" t="str">
        <f>IF(AND(F10&gt;0,E10&gt;0),"3 ","")</f>
        <v/>
      </c>
      <c r="G41" s="59" t="str">
        <f>IF(AND(G10&gt;0,F10&gt;0),"3 ","")</f>
        <v xml:space="preserve">3 </v>
      </c>
      <c r="H41" s="59" t="str">
        <f>IF(AND(H10&gt;0,G10&gt;0),"3 ","")</f>
        <v xml:space="preserve">3 </v>
      </c>
      <c r="I41" s="59" t="str">
        <f>IF(AND(I10&gt;0,H10&gt;0),"3 ","")</f>
        <v xml:space="preserve">3 </v>
      </c>
      <c r="J41" s="60"/>
    </row>
  </sheetData>
  <sheetProtection algorithmName="SHA-512" hashValue="3uCLWI7oGDSnehRfjrGbJi2anGotwuys69NvkO8dfbbafG7yuvy+0BfI+IikvuIQTpZgn7WJzdVO70Lzne/lXA==" saltValue="+Jr4Qp037oF5UJt6oyFOBw==" spinCount="100000" sheet="1" objects="1" scenarios="1"/>
  <scenarios current="0">
    <scenario name="2"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 name="33"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s>
  <mergeCells count="11">
    <mergeCell ref="L9:L10"/>
    <mergeCell ref="D23:D24"/>
    <mergeCell ref="D28:D29"/>
    <mergeCell ref="D33:D34"/>
    <mergeCell ref="B2:D2"/>
    <mergeCell ref="B3:B5"/>
    <mergeCell ref="C3:D3"/>
    <mergeCell ref="B6:B8"/>
    <mergeCell ref="C6:D6"/>
    <mergeCell ref="B9:B11"/>
    <mergeCell ref="C9:D9"/>
  </mergeCells>
  <conditionalFormatting sqref="J7 J4 J10">
    <cfRule type="cellIs" dxfId="27" priority="10" operator="equal">
      <formula>0</formula>
    </cfRule>
  </conditionalFormatting>
  <conditionalFormatting sqref="J4 J7 J10">
    <cfRule type="cellIs" dxfId="26" priority="8" operator="greaterThan">
      <formula>0</formula>
    </cfRule>
    <cfRule type="cellIs" dxfId="25" priority="9" operator="lessThan">
      <formula>0</formula>
    </cfRule>
  </conditionalFormatting>
  <conditionalFormatting sqref="L9:L10">
    <cfRule type="containsText" dxfId="24" priority="4" operator="containsText" text="‌ ✓">
      <formula>NOT(ISERROR(SEARCH("‌ ✓",L9)))</formula>
    </cfRule>
  </conditionalFormatting>
  <conditionalFormatting sqref="F25:I26">
    <cfRule type="cellIs" dxfId="23" priority="3" operator="lessThan">
      <formula>0</formula>
    </cfRule>
  </conditionalFormatting>
  <conditionalFormatting sqref="F30:I31">
    <cfRule type="cellIs" dxfId="22" priority="2" operator="lessThan">
      <formula>0</formula>
    </cfRule>
  </conditionalFormatting>
  <conditionalFormatting sqref="F35:I35">
    <cfRule type="cellIs" dxfId="21" priority="1" operator="lessThan">
      <formula>0</formula>
    </cfRule>
  </conditionalFormatting>
  <dataValidations count="2">
    <dataValidation type="list" allowBlank="1" showInputMessage="1" showErrorMessage="1" sqref="F15" xr:uid="{1CD0C38A-2289-4246-A4A6-12BFE4A5E3BE}">
      <formula1>$F$39:$F$41</formula1>
    </dataValidation>
    <dataValidation type="list" allowBlank="1" showInputMessage="1" showErrorMessage="1" sqref="G15:I15" xr:uid="{5250699C-FF0D-40FD-A82D-23226C5A2321}">
      <formula1>G$39:G$41</formula1>
    </dataValidation>
  </dataValidation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34B1-8546-4437-B0A7-79A7B9A69520}">
  <sheetPr codeName="Sheet9">
    <tabColor theme="9" tint="-0.249977111117893"/>
  </sheetPr>
  <dimension ref="B2:Q41"/>
  <sheetViews>
    <sheetView rightToLeft="1" topLeftCell="A10" zoomScale="55" zoomScaleNormal="55" workbookViewId="0">
      <selection activeCell="F33" sqref="F33"/>
    </sheetView>
  </sheetViews>
  <sheetFormatPr defaultColWidth="9" defaultRowHeight="27.75"/>
  <cols>
    <col min="1" max="1" width="9" style="16" customWidth="1"/>
    <col min="2" max="2" width="4.625" style="16" bestFit="1" customWidth="1"/>
    <col min="3" max="3" width="7" style="16" bestFit="1" customWidth="1"/>
    <col min="4" max="4" width="13.625" style="16" bestFit="1" customWidth="1"/>
    <col min="5" max="5" width="8.375" style="16" bestFit="1" customWidth="1"/>
    <col min="6" max="9" width="18.375" style="16" bestFit="1" customWidth="1"/>
    <col min="10" max="10" width="20.375" style="16" bestFit="1" customWidth="1"/>
    <col min="11" max="11" width="14.375" style="16" bestFit="1" customWidth="1"/>
    <col min="12" max="12" width="24.125" style="16" bestFit="1" customWidth="1"/>
    <col min="13" max="13" width="9" style="16"/>
    <col min="14" max="15" width="13.125" style="16" bestFit="1" customWidth="1"/>
    <col min="16" max="16" width="22.5" style="16" bestFit="1" customWidth="1"/>
    <col min="17" max="17" width="10.375" style="16" bestFit="1" customWidth="1"/>
    <col min="18" max="16384" width="9" style="16"/>
  </cols>
  <sheetData>
    <row r="2" spans="2:17" ht="28.5" thickBot="1">
      <c r="B2" s="127" t="s">
        <v>13</v>
      </c>
      <c r="C2" s="127"/>
      <c r="D2" s="128"/>
      <c r="E2" s="13">
        <v>8</v>
      </c>
      <c r="F2" s="13">
        <v>9</v>
      </c>
      <c r="G2" s="13">
        <v>10</v>
      </c>
      <c r="H2" s="13">
        <v>11</v>
      </c>
      <c r="I2" s="14">
        <v>12</v>
      </c>
      <c r="J2" s="15" t="s">
        <v>47</v>
      </c>
      <c r="L2" s="17"/>
      <c r="M2" s="17"/>
    </row>
    <row r="3" spans="2:17" ht="27.75" customHeight="1">
      <c r="B3" s="129">
        <v>1</v>
      </c>
      <c r="C3" s="130" t="s">
        <v>14</v>
      </c>
      <c r="D3" s="131"/>
      <c r="E3" s="18"/>
      <c r="F3" s="19">
        <f>'DATA 2'!G8</f>
        <v>425.75712366890201</v>
      </c>
      <c r="G3" s="19">
        <f>'DATA 2'!H8</f>
        <v>567.67616489186946</v>
      </c>
      <c r="H3" s="19">
        <f>'DATA 2'!I8</f>
        <v>851.51424733780402</v>
      </c>
      <c r="I3" s="19">
        <f>'DATA 2'!J8</f>
        <v>993.43328856077142</v>
      </c>
      <c r="J3" s="100"/>
      <c r="L3" s="20"/>
    </row>
    <row r="4" spans="2:17" ht="27.75" customHeight="1">
      <c r="B4" s="129"/>
      <c r="C4" s="21" t="s">
        <v>15</v>
      </c>
      <c r="D4" s="21">
        <f>SUM(F4:I4)</f>
        <v>2800</v>
      </c>
      <c r="E4" s="22"/>
      <c r="F4" s="23">
        <v>700</v>
      </c>
      <c r="G4" s="23">
        <v>700</v>
      </c>
      <c r="H4" s="23">
        <v>700</v>
      </c>
      <c r="I4" s="23">
        <v>700</v>
      </c>
      <c r="J4" s="101">
        <f>SUM(F4:I4)-SUM(F3:I3)</f>
        <v>-38.380824459346968</v>
      </c>
    </row>
    <row r="5" spans="2:17" ht="27.75" customHeight="1">
      <c r="B5" s="129"/>
      <c r="C5" s="25" t="s">
        <v>16</v>
      </c>
      <c r="D5" s="26">
        <f>DATA!E9</f>
        <v>50</v>
      </c>
      <c r="E5" s="27"/>
      <c r="F5" s="28">
        <f>D5-F3+F4</f>
        <v>324.24287633109799</v>
      </c>
      <c r="G5" s="29">
        <f>F5-G3+G4</f>
        <v>456.56671143922853</v>
      </c>
      <c r="H5" s="29">
        <f>G5-H3+H4</f>
        <v>305.0524641014245</v>
      </c>
      <c r="I5" s="30">
        <f>H5-I3+I4</f>
        <v>11.619175540653032</v>
      </c>
      <c r="J5" s="31"/>
    </row>
    <row r="6" spans="2:17" ht="27.75" customHeight="1" thickBot="1">
      <c r="B6" s="132">
        <v>2</v>
      </c>
      <c r="C6" s="133" t="s">
        <v>14</v>
      </c>
      <c r="D6" s="134"/>
      <c r="E6" s="32"/>
      <c r="F6" s="33">
        <f>'DATA 2'!G9</f>
        <v>632.84891579537327</v>
      </c>
      <c r="G6" s="33">
        <f>'DATA 2'!H9</f>
        <v>843.79855439383107</v>
      </c>
      <c r="H6" s="33">
        <f>'DATA 2'!I9</f>
        <v>1265.6978315907465</v>
      </c>
      <c r="I6" s="33">
        <f>'DATA 2'!J9</f>
        <v>1476.6474701892041</v>
      </c>
      <c r="J6" s="101"/>
      <c r="N6" s="34" t="s">
        <v>9</v>
      </c>
      <c r="O6" s="34" t="s">
        <v>8</v>
      </c>
      <c r="P6" s="35" t="s">
        <v>48</v>
      </c>
    </row>
    <row r="7" spans="2:17" ht="27.75" customHeight="1" thickBot="1">
      <c r="B7" s="132"/>
      <c r="C7" s="36" t="s">
        <v>15</v>
      </c>
      <c r="D7" s="36">
        <f>SUM(F7:I7)</f>
        <v>4200</v>
      </c>
      <c r="E7" s="37"/>
      <c r="F7" s="24">
        <v>1050</v>
      </c>
      <c r="G7" s="24">
        <v>1050</v>
      </c>
      <c r="H7" s="24">
        <v>1050</v>
      </c>
      <c r="I7" s="24">
        <v>1050</v>
      </c>
      <c r="J7" s="101">
        <f>SUM(F7:I7)-SUM(F6:I6)</f>
        <v>-18.992771969155001</v>
      </c>
      <c r="L7" s="38" t="s">
        <v>17</v>
      </c>
      <c r="N7" s="72">
        <f>DATA!M9</f>
        <v>0.97499999999999998</v>
      </c>
      <c r="O7" s="72">
        <f>DATA!M8</f>
        <v>0.95</v>
      </c>
      <c r="P7" s="81">
        <f>DATA!G6/4</f>
        <v>8736</v>
      </c>
    </row>
    <row r="8" spans="2:17" ht="27.75" customHeight="1" thickBot="1">
      <c r="B8" s="132"/>
      <c r="C8" s="39" t="s">
        <v>16</v>
      </c>
      <c r="D8" s="102">
        <f>DATA!E10</f>
        <v>90</v>
      </c>
      <c r="E8" s="40"/>
      <c r="F8" s="41">
        <f>D8-F6+F7</f>
        <v>507.15108420462673</v>
      </c>
      <c r="G8" s="42">
        <f>F8-G6+G7</f>
        <v>713.35252981079566</v>
      </c>
      <c r="H8" s="42">
        <f>G8-H6+H7</f>
        <v>497.65469822004911</v>
      </c>
      <c r="I8" s="43">
        <f>H8-I6+I7</f>
        <v>71.007228030844999</v>
      </c>
      <c r="J8" s="31"/>
      <c r="L8" s="104">
        <f>J17+J18+J20</f>
        <v>73954800.000000015</v>
      </c>
    </row>
    <row r="9" spans="2:17" ht="27.75" customHeight="1">
      <c r="B9" s="129">
        <v>3</v>
      </c>
      <c r="C9" s="135" t="s">
        <v>14</v>
      </c>
      <c r="D9" s="136"/>
      <c r="E9" s="44"/>
      <c r="F9" s="45">
        <f>'DATA 2'!G10</f>
        <v>618.84396053572459</v>
      </c>
      <c r="G9" s="45">
        <f>'DATA 2'!H10</f>
        <v>825.12528071429961</v>
      </c>
      <c r="H9" s="45">
        <f>'DATA 2'!I10</f>
        <v>1237.6879210714492</v>
      </c>
      <c r="I9" s="45">
        <f>'DATA 2'!J10</f>
        <v>1443.969241250024</v>
      </c>
      <c r="J9" s="101"/>
      <c r="L9" s="124" t="str">
        <f>IF(MIN(F12:I12,F25:I25,F30:I30,F35:I35)=0,"‌ ✓","x infeasible")</f>
        <v>‌ ✓</v>
      </c>
    </row>
    <row r="10" spans="2:17" ht="27.75" customHeight="1" thickBot="1">
      <c r="B10" s="129"/>
      <c r="C10" s="21" t="s">
        <v>15</v>
      </c>
      <c r="D10" s="21">
        <f>SUM(F10:I10)</f>
        <v>4080</v>
      </c>
      <c r="E10" s="22"/>
      <c r="F10" s="23">
        <v>1020</v>
      </c>
      <c r="G10" s="23">
        <v>1020</v>
      </c>
      <c r="H10" s="23">
        <v>1020</v>
      </c>
      <c r="I10" s="23">
        <v>1020</v>
      </c>
      <c r="J10" s="101">
        <f>SUM(F10:I10)-SUM(F9:I9)</f>
        <v>-45.626403571497576</v>
      </c>
      <c r="L10" s="125"/>
    </row>
    <row r="11" spans="2:17" ht="28.5" customHeight="1" thickBot="1">
      <c r="B11" s="129"/>
      <c r="C11" s="25" t="s">
        <v>16</v>
      </c>
      <c r="D11" s="47">
        <f>DATA!E11</f>
        <v>70</v>
      </c>
      <c r="E11" s="48"/>
      <c r="F11" s="49">
        <f>D11-F9+F10</f>
        <v>471.15603946427541</v>
      </c>
      <c r="G11" s="50">
        <f>F11-G9+G10</f>
        <v>666.0307587499758</v>
      </c>
      <c r="H11" s="50">
        <f>G11-H9+H10</f>
        <v>448.34283767852662</v>
      </c>
      <c r="I11" s="51">
        <f>H11-I9+I10</f>
        <v>24.373596428502651</v>
      </c>
      <c r="J11" s="31"/>
      <c r="N11" s="46">
        <v>3</v>
      </c>
      <c r="O11" s="46">
        <v>2</v>
      </c>
      <c r="P11" s="46">
        <v>1</v>
      </c>
      <c r="Q11" s="52" t="s">
        <v>18</v>
      </c>
    </row>
    <row r="12" spans="2:17">
      <c r="D12" s="53" t="s">
        <v>55</v>
      </c>
      <c r="E12" s="54"/>
      <c r="F12" s="55">
        <f>$P$7*$O$7*$N$7-F19-(F4*$P$17+F7*$O$17+F10*$N$17)</f>
        <v>2925.8866666666654</v>
      </c>
      <c r="G12" s="55">
        <f t="shared" ref="G12:I12" si="0">$P$7*$O$7*$N$7-G19-(G4*$P$17+G7*$O$17+G10*$N$17)</f>
        <v>2928.286666666665</v>
      </c>
      <c r="H12" s="55">
        <f t="shared" si="0"/>
        <v>2928.286666666665</v>
      </c>
      <c r="I12" s="55">
        <f t="shared" si="0"/>
        <v>2928.286666666665</v>
      </c>
      <c r="J12" s="109">
        <f>SUM(F12:I12)</f>
        <v>11710.746666666661</v>
      </c>
      <c r="N12" s="98">
        <f>DATA!C14</f>
        <v>-255000</v>
      </c>
      <c r="O12" s="98">
        <f>DATA!D14</f>
        <v>-255000</v>
      </c>
      <c r="P12" s="98">
        <f>DATA!E14</f>
        <v>-255000</v>
      </c>
      <c r="Q12" s="57" t="s">
        <v>19</v>
      </c>
    </row>
    <row r="13" spans="2:17">
      <c r="D13" s="58" t="s">
        <v>20</v>
      </c>
      <c r="E13" s="59"/>
      <c r="F13" s="59">
        <f>COUNTIF(F4:F10,"&gt;0")-COUNTIF(F5:F6,"&gt;0")-COUNTIF(F8:F9,"&gt;0")-IF(OR(AND(F4&gt;0,E4&gt;0),AND(F7&gt;0,E7&gt;0),AND(F10&gt;0,E10&gt;0)),1,0)</f>
        <v>3</v>
      </c>
      <c r="G13" s="59">
        <f t="shared" ref="G13:I13" si="1">COUNTIF(G4:G10,"&gt;0")-COUNTIF(G5:G6,"&gt;0")-COUNTIF(G8:G9,"&gt;0")-IF(OR(AND(G4&gt;0,F4&gt;0),AND(G7&gt;0,F7&gt;0),AND(G10&gt;0,F10&gt;0)),1,0)</f>
        <v>2</v>
      </c>
      <c r="H13" s="59">
        <f t="shared" si="1"/>
        <v>2</v>
      </c>
      <c r="I13" s="59">
        <f t="shared" si="1"/>
        <v>2</v>
      </c>
      <c r="J13" s="60"/>
      <c r="N13" s="98">
        <f>DATA!C15</f>
        <v>16000</v>
      </c>
      <c r="O13" s="98">
        <f>DATA!D15</f>
        <v>16000</v>
      </c>
      <c r="P13" s="98">
        <f>DATA!E15</f>
        <v>16000</v>
      </c>
      <c r="Q13" s="57" t="s">
        <v>21</v>
      </c>
    </row>
    <row r="14" spans="2:17">
      <c r="D14" s="58" t="s">
        <v>22</v>
      </c>
      <c r="E14" s="59"/>
      <c r="F14" s="112" t="str">
        <f>IF(AND(F4&gt;0,E4&gt;0),"1, ","")&amp;IF(AND(F7&gt;0,E7&gt;0),"2, ","")&amp;IF(AND(F10&gt;0,E10&gt;0),"3, ","")</f>
        <v/>
      </c>
      <c r="G14" s="112" t="str">
        <f t="shared" ref="G14:H14" si="2">IF(AND(G4&gt;0,F4&gt;0),"1, ","")&amp;IF(AND(G7&gt;0,F7&gt;0),"2, ","")&amp;IF(AND(G10&gt;0,F10&gt;0),"3, ","")</f>
        <v xml:space="preserve">1, 2, 3, </v>
      </c>
      <c r="H14" s="112" t="str">
        <f t="shared" si="2"/>
        <v xml:space="preserve">1, 2, 3, </v>
      </c>
      <c r="I14" s="112" t="str">
        <f>IF(AND(I4&gt;0,H4&gt;0),"1, ","")&amp;IF(AND(I7&gt;0,H7&gt;0),"2, ","")&amp;IF(AND(I10&gt;0,H10&gt;0),"3, ","")</f>
        <v xml:space="preserve">1, 2, 3, </v>
      </c>
      <c r="J14" s="60"/>
      <c r="N14" s="98">
        <f>DATA!C16</f>
        <v>230000</v>
      </c>
      <c r="O14" s="98">
        <f>DATA!D16</f>
        <v>210000</v>
      </c>
      <c r="P14" s="98">
        <f>DATA!E16</f>
        <v>250000</v>
      </c>
      <c r="Q14" s="57" t="s">
        <v>23</v>
      </c>
    </row>
    <row r="15" spans="2:17">
      <c r="D15" s="58" t="s">
        <v>24</v>
      </c>
      <c r="E15" s="59"/>
      <c r="F15" s="110" t="s">
        <v>25</v>
      </c>
      <c r="G15" s="111" t="s">
        <v>26</v>
      </c>
      <c r="H15" s="110" t="s">
        <v>26</v>
      </c>
      <c r="I15" s="110" t="s">
        <v>26</v>
      </c>
      <c r="J15" s="60"/>
      <c r="L15" s="61"/>
      <c r="N15" s="103">
        <f>DATA!C17</f>
        <v>3</v>
      </c>
      <c r="O15" s="103">
        <f>DATA!D17</f>
        <v>2.1</v>
      </c>
      <c r="P15" s="103">
        <f>DATA!E17</f>
        <v>2.4</v>
      </c>
      <c r="Q15" s="57" t="s">
        <v>28</v>
      </c>
    </row>
    <row r="16" spans="2:17" hidden="1">
      <c r="D16" s="58"/>
      <c r="E16" s="59">
        <f>IFERROR(VALUE(E15),0)</f>
        <v>0</v>
      </c>
      <c r="F16" s="59">
        <f>IFERROR(VALUE(F15),0)</f>
        <v>0</v>
      </c>
      <c r="G16" s="59">
        <f t="shared" ref="G16:I16" si="3">IFERROR(VALUE(G15),0)</f>
        <v>1</v>
      </c>
      <c r="H16" s="59">
        <f t="shared" si="3"/>
        <v>1</v>
      </c>
      <c r="I16" s="59">
        <f t="shared" si="3"/>
        <v>1</v>
      </c>
      <c r="J16" s="60"/>
      <c r="N16" s="62">
        <v>0</v>
      </c>
      <c r="O16" s="62">
        <v>0</v>
      </c>
      <c r="P16" s="62">
        <v>0</v>
      </c>
      <c r="Q16" s="57" t="s">
        <v>29</v>
      </c>
    </row>
    <row r="17" spans="4:17">
      <c r="D17" s="63" t="s">
        <v>30</v>
      </c>
      <c r="E17" s="59"/>
      <c r="F17" s="81">
        <f>IF(F5&lt;0,F5*$P$12,F5*$P$13)+IF(F8&lt;0,F8*$O$12,F8*$O$13)+IF(F11&lt;0,F11*$N$12,F11*$N$13)</f>
        <v>20840800</v>
      </c>
      <c r="G17" s="81">
        <f>IF(G5&lt;0,G5*$P$12,G5*$P$13)+IF(G8&lt;0,G8*$O$12,G8*$O$13)+IF(G11&lt;0,G11*$N$12,G11*$N$13)</f>
        <v>29375200</v>
      </c>
      <c r="H17" s="81">
        <f>IF(H5&lt;0,H5*$P$12,H5*$P$13)+IF(H8&lt;0,H8*$O$12,H8*$O$13)+IF(H11&lt;0,H11*$N$12,H11*$N$13)</f>
        <v>20016800.000000004</v>
      </c>
      <c r="I17" s="107">
        <f>IF(I5&lt;0,I5*$P$12,I5*$P$13)+IF(I8&lt;0,I8*$O$12,I8*$O$13)+IF(I11&lt;0,I11*$N$12,I11*$N$13)</f>
        <v>1712000.0000000107</v>
      </c>
      <c r="J17" s="108">
        <f>SUM(F17:I17)</f>
        <v>71944800.000000015</v>
      </c>
      <c r="N17" s="97">
        <f>DATA!D11/60</f>
        <v>2.0833333333333335</v>
      </c>
      <c r="O17" s="97">
        <f>DATA!D10/60</f>
        <v>1.8333333333333333</v>
      </c>
      <c r="P17" s="97">
        <f>DATA!D9/60</f>
        <v>1.5833333333333333</v>
      </c>
      <c r="Q17" s="57" t="s">
        <v>11</v>
      </c>
    </row>
    <row r="18" spans="4:17">
      <c r="D18" s="64" t="s">
        <v>31</v>
      </c>
      <c r="E18" s="59"/>
      <c r="F18" s="81">
        <f>IF(F4&gt;0,$P$14,0)+IF(F7&gt;0,$O$14,0)+IF(F10&gt;0,$N$14,0)-IFERROR(INDEX($N$11:$P$14,4,MATCH(F16,$N$11:$P$11,0)),0)</f>
        <v>690000</v>
      </c>
      <c r="G18" s="81">
        <f t="shared" ref="G18:I18" si="4">IF(G4&gt;0,$P$14,0)+IF(G7&gt;0,$O$14,0)+IF(G10&gt;0,$N$14,0)-IFERROR(INDEX($N$11:$P$14,4,MATCH(G16,$N$11:$P$11,0)),0)</f>
        <v>440000</v>
      </c>
      <c r="H18" s="81">
        <f t="shared" si="4"/>
        <v>440000</v>
      </c>
      <c r="I18" s="81">
        <f t="shared" si="4"/>
        <v>440000</v>
      </c>
      <c r="J18" s="108">
        <f>SUM(F18:I18)</f>
        <v>2010000</v>
      </c>
      <c r="N18" s="99"/>
      <c r="O18" s="99"/>
      <c r="P18" s="99"/>
    </row>
    <row r="19" spans="4:17">
      <c r="D19" s="64" t="s">
        <v>32</v>
      </c>
      <c r="E19" s="59"/>
      <c r="F19" s="113">
        <f>IF(F4&gt;0,$P$15,0)+IF(F7&gt;0,$O$15,0)+IF(F10&gt;0,$N$15,0)-IFERROR(INDEX($N$11:$P$15,5,MATCH(F16,$N$11:$P$11,0)),0)</f>
        <v>7.5</v>
      </c>
      <c r="G19" s="113">
        <f t="shared" ref="G19:I19" si="5">IF(G4&gt;0,$P$15,0)+IF(G7&gt;0,$O$15,0)+IF(G10&gt;0,$N$15,0)-IFERROR(INDEX($N$11:$P$15,5,MATCH(G16,$N$11:$P$11,0)),0)</f>
        <v>5.0999999999999996</v>
      </c>
      <c r="H19" s="113">
        <f t="shared" si="5"/>
        <v>5.0999999999999996</v>
      </c>
      <c r="I19" s="113">
        <f t="shared" si="5"/>
        <v>5.0999999999999996</v>
      </c>
      <c r="J19" s="65">
        <f t="shared" ref="J19:J20" si="6">SUM(F19:I19)</f>
        <v>22.799999999999997</v>
      </c>
    </row>
    <row r="20" spans="4:17" ht="28.5" hidden="1" thickBot="1">
      <c r="D20" s="66" t="s">
        <v>29</v>
      </c>
      <c r="E20" s="67"/>
      <c r="F20" s="68">
        <f>F4*$P$16+F7*$O$16+F10*$N$16</f>
        <v>0</v>
      </c>
      <c r="G20" s="68">
        <f>G4*$P$16+G7*$O$16+G10*$N$16</f>
        <v>0</v>
      </c>
      <c r="H20" s="68">
        <f>H4*$P$16+H7*$O$16+H10*$N$16</f>
        <v>0</v>
      </c>
      <c r="I20" s="69">
        <f>I4*$P$16+I7*$O$16+I10*$N$16</f>
        <v>0</v>
      </c>
      <c r="J20" s="70">
        <f t="shared" si="6"/>
        <v>0</v>
      </c>
    </row>
    <row r="22" spans="4:17">
      <c r="F22" s="16">
        <f t="shared" ref="F22:I22" si="7">F2</f>
        <v>9</v>
      </c>
      <c r="G22" s="16">
        <f t="shared" si="7"/>
        <v>10</v>
      </c>
      <c r="H22" s="16">
        <f t="shared" si="7"/>
        <v>11</v>
      </c>
      <c r="I22" s="16">
        <f t="shared" si="7"/>
        <v>12</v>
      </c>
    </row>
    <row r="23" spans="4:17">
      <c r="D23" s="126">
        <v>1</v>
      </c>
      <c r="E23" s="52" t="s">
        <v>52</v>
      </c>
      <c r="F23" s="71">
        <f>MAX(0,IF(VLOOKUP($E23,[1]DATA!$G$8:$I$10,3,FALSE)=1,MIN(VLOOKUP($E23,[1]DATA!$G$8:$J$10,4,TRUE),VLOOKUP($E23,[1]DATA!$G$8:$J$10,2,TRUE)*F$4),MIN(VLOOKUP($E23,[1]DATA!$G$8:$J$10,4,TRUE),F$4-F24)))</f>
        <v>245</v>
      </c>
      <c r="G23" s="71">
        <f>MAX(0,IF(VLOOKUP($E23,[1]DATA!$G$8:$I$10,3,FALSE)=1,MIN(VLOOKUP($E23,[1]DATA!$G$8:$J$10,4,TRUE),VLOOKUP($E23,[1]DATA!$G$8:$J$10,2,TRUE)*G$4),MIN(VLOOKUP($E23,[1]DATA!$G$8:$J$10,4,TRUE),G$4-G24)))</f>
        <v>245</v>
      </c>
      <c r="H23" s="71">
        <f>MAX(0,IF(VLOOKUP($E23,[1]DATA!$G$8:$I$10,3,FALSE)=1,MIN(VLOOKUP($E23,[1]DATA!$G$8:$J$10,4,TRUE),VLOOKUP($E23,[1]DATA!$G$8:$J$10,2,TRUE)*H$4),MIN(VLOOKUP($E23,[1]DATA!$G$8:$J$10,4,TRUE),H$4-H24)))</f>
        <v>245</v>
      </c>
      <c r="I23" s="71">
        <f>MAX(0,IF(VLOOKUP($E23,[1]DATA!$G$8:$I$10,3,FALSE)=1,MIN(VLOOKUP($E23,[1]DATA!$G$8:$J$10,4,TRUE),VLOOKUP($E23,[1]DATA!$G$8:$J$10,2,TRUE)*I$4),MIN(VLOOKUP($E23,[1]DATA!$G$8:$J$10,4,TRUE),I$4-I24)))</f>
        <v>245</v>
      </c>
    </row>
    <row r="24" spans="4:17">
      <c r="D24" s="126"/>
      <c r="E24" s="52" t="s">
        <v>53</v>
      </c>
      <c r="F24" s="71">
        <f>MAX(0,IF(VLOOKUP($E24,[1]DATA!$G$8:$I$10,3,FALSE)=1,MIN(VLOOKUP($E24,[1]DATA!$G$8:$J$10,4,TRUE),VLOOKUP($E24,[1]DATA!$G$8:$J$10,2,TRUE)*F$4),MIN(VLOOKUP($E24,[1]DATA!$G$8:$J$10,4,TRUE),F$4-F25)))</f>
        <v>455</v>
      </c>
      <c r="G24" s="71">
        <f>MAX(0,IF(VLOOKUP($E24,[1]DATA!$G$8:$I$10,3,FALSE)=1,MIN(VLOOKUP($E24,[1]DATA!$G$8:$J$10,4,TRUE),VLOOKUP($E24,[1]DATA!$G$8:$J$10,2,TRUE)*G$4),MIN(VLOOKUP($E24,[1]DATA!$G$8:$J$10,4,TRUE),G$4-G25)))</f>
        <v>455</v>
      </c>
      <c r="H24" s="71">
        <f>MAX(0,IF(VLOOKUP($E24,[1]DATA!$G$8:$I$10,3,FALSE)=1,MIN(VLOOKUP($E24,[1]DATA!$G$8:$J$10,4,TRUE),VLOOKUP($E24,[1]DATA!$G$8:$J$10,2,TRUE)*H$4),MIN(VLOOKUP($E24,[1]DATA!$G$8:$J$10,4,TRUE),H$4-H25)))</f>
        <v>455</v>
      </c>
      <c r="I24" s="71">
        <f>MAX(0,IF(VLOOKUP($E24,[1]DATA!$G$8:$I$10,3,FALSE)=1,MIN(VLOOKUP($E24,[1]DATA!$G$8:$J$10,4,TRUE),VLOOKUP($E24,[1]DATA!$G$8:$J$10,2,TRUE)*I$4),MIN(VLOOKUP($E24,[1]DATA!$G$8:$J$10,4,TRUE),I$4-I25)))</f>
        <v>455</v>
      </c>
    </row>
    <row r="25" spans="4:17">
      <c r="E25" s="119" t="s">
        <v>54</v>
      </c>
      <c r="F25" s="61">
        <f>SUM(F23:F24)-F4</f>
        <v>0</v>
      </c>
      <c r="G25" s="61">
        <f>SUM(G23:G24)-G4</f>
        <v>0</v>
      </c>
      <c r="H25" s="61">
        <f>SUM(H23:H24)-H4</f>
        <v>0</v>
      </c>
      <c r="I25" s="61">
        <f>SUM(I23:I24)-I4</f>
        <v>0</v>
      </c>
    </row>
    <row r="26" spans="4:17">
      <c r="E26" s="119"/>
      <c r="F26" s="61"/>
      <c r="G26" s="61"/>
      <c r="H26" s="61"/>
      <c r="I26" s="61"/>
    </row>
    <row r="27" spans="4:17">
      <c r="F27" s="61">
        <f t="shared" ref="F27:I27" si="8">F2</f>
        <v>9</v>
      </c>
      <c r="G27" s="61">
        <f t="shared" si="8"/>
        <v>10</v>
      </c>
      <c r="H27" s="61">
        <f t="shared" si="8"/>
        <v>11</v>
      </c>
      <c r="I27" s="61">
        <f t="shared" si="8"/>
        <v>12</v>
      </c>
    </row>
    <row r="28" spans="4:17">
      <c r="D28" s="126">
        <v>2</v>
      </c>
      <c r="E28" s="52" t="s">
        <v>52</v>
      </c>
      <c r="F28" s="71">
        <f>MAX(0,IF(VLOOKUP($E28,[1]DATA!$G$8:$I$10,3,FALSE)=1,MIN(VLOOKUP($E28,[1]DATA!$G$8:$J$10,4,TRUE)-F23,VLOOKUP($E28,[1]DATA!$G$8:$J$10,2,TRUE)*F$7),MIN(VLOOKUP($E28,[1]DATA!$G$8:$J$10,4,TRUE)-F23,F$7-F29)))</f>
        <v>367.5</v>
      </c>
      <c r="G28" s="71">
        <f>MAX(0,IF(VLOOKUP($E28,[1]DATA!$G$8:$I$10,3,FALSE)=1,MIN(VLOOKUP($E28,[1]DATA!$G$8:$J$10,4,TRUE)-G23,VLOOKUP($E28,[1]DATA!$G$8:$J$10,2,TRUE)*G$7),MIN(VLOOKUP($E28,[1]DATA!$G$8:$J$10,4,TRUE)-G23,G$7-G29)))</f>
        <v>367.5</v>
      </c>
      <c r="H28" s="71">
        <f>MAX(0,IF(VLOOKUP($E28,[1]DATA!$G$8:$I$10,3,FALSE)=1,MIN(VLOOKUP($E28,[1]DATA!$G$8:$J$10,4,TRUE)-H23,VLOOKUP($E28,[1]DATA!$G$8:$J$10,2,TRUE)*H$7),MIN(VLOOKUP($E28,[1]DATA!$G$8:$J$10,4,TRUE)-H23,H$7-H29)))</f>
        <v>367.5</v>
      </c>
      <c r="I28" s="71">
        <f>MAX(0,IF(VLOOKUP($E28,[1]DATA!$G$8:$I$10,3,FALSE)=1,MIN(VLOOKUP($E28,[1]DATA!$G$8:$J$10,4,TRUE)-I23,VLOOKUP($E28,[1]DATA!$G$8:$J$10,2,TRUE)*I$7),MIN(VLOOKUP($E28,[1]DATA!$G$8:$J$10,4,TRUE)-I23,I$7-I29)))</f>
        <v>367.5</v>
      </c>
    </row>
    <row r="29" spans="4:17">
      <c r="D29" s="126"/>
      <c r="E29" s="52" t="s">
        <v>53</v>
      </c>
      <c r="F29" s="71">
        <f>MAX(0,IF(VLOOKUP($E29,[1]DATA!$G$8:$I$10,3,FALSE)=1,MIN(VLOOKUP($E29,[1]DATA!$G$8:$J$10,4,TRUE)-F24,VLOOKUP($E29,[1]DATA!$G$8:$J$10,2,TRUE)*F$7),MIN(VLOOKUP($E29,[1]DATA!$G$8:$J$10,4,TRUE)-F24,F$7-F30)))</f>
        <v>682.5</v>
      </c>
      <c r="G29" s="71">
        <f>MAX(0,IF(VLOOKUP($E29,[1]DATA!$G$8:$I$10,3,FALSE)=1,MIN(VLOOKUP($E29,[1]DATA!$G$8:$J$10,4,TRUE)-G24,VLOOKUP($E29,[1]DATA!$G$8:$J$10,2,TRUE)*G$7),MIN(VLOOKUP($E29,[1]DATA!$G$8:$J$10,4,TRUE)-G24,G$7-G30)))</f>
        <v>682.5</v>
      </c>
      <c r="H29" s="71">
        <f>MAX(0,IF(VLOOKUP($E29,[1]DATA!$G$8:$I$10,3,FALSE)=1,MIN(VLOOKUP($E29,[1]DATA!$G$8:$J$10,4,TRUE)-H24,VLOOKUP($E29,[1]DATA!$G$8:$J$10,2,TRUE)*H$7),MIN(VLOOKUP($E29,[1]DATA!$G$8:$J$10,4,TRUE)-H24,H$7-H30)))</f>
        <v>682.5</v>
      </c>
      <c r="I29" s="71">
        <f>MAX(0,IF(VLOOKUP($E29,[1]DATA!$G$8:$I$10,3,FALSE)=1,MIN(VLOOKUP($E29,[1]DATA!$G$8:$J$10,4,TRUE)-I24,VLOOKUP($E29,[1]DATA!$G$8:$J$10,2,TRUE)*I$7),MIN(VLOOKUP($E29,[1]DATA!$G$8:$J$10,4,TRUE)-I24,I$7-I30)))</f>
        <v>682.5</v>
      </c>
    </row>
    <row r="30" spans="4:17">
      <c r="E30" s="119" t="s">
        <v>54</v>
      </c>
      <c r="F30" s="61">
        <f>SUM(F28:F29)-F7</f>
        <v>0</v>
      </c>
      <c r="G30" s="61">
        <f>SUM(G28:G29)-G7</f>
        <v>0</v>
      </c>
      <c r="H30" s="61">
        <f>SUM(H28:H29)-H7</f>
        <v>0</v>
      </c>
      <c r="I30" s="61">
        <f>SUM(I28:I29)-I7</f>
        <v>0</v>
      </c>
    </row>
    <row r="31" spans="4:17">
      <c r="E31" s="119"/>
      <c r="F31" s="61"/>
      <c r="G31" s="61"/>
      <c r="H31" s="61"/>
      <c r="I31" s="61"/>
    </row>
    <row r="32" spans="4:17">
      <c r="F32" s="61">
        <f t="shared" ref="F32:I32" si="9">F2</f>
        <v>9</v>
      </c>
      <c r="G32" s="61">
        <f t="shared" si="9"/>
        <v>10</v>
      </c>
      <c r="H32" s="61">
        <f t="shared" si="9"/>
        <v>11</v>
      </c>
      <c r="I32" s="61">
        <f t="shared" si="9"/>
        <v>12</v>
      </c>
    </row>
    <row r="33" spans="4:10">
      <c r="D33" s="126">
        <v>3</v>
      </c>
      <c r="E33" s="52" t="s">
        <v>52</v>
      </c>
      <c r="F33" s="71">
        <f>MAX(0,IF(VLOOKUP($E33,[1]DATA!$G$8:$I$10,3,FALSE)=1,MIN(VLOOKUP($E33,[1]DATA!$G$8:$J$10,4,TRUE)-F28-F23,VLOOKUP($E33,[1]DATA!$G$8:$J$10,2,TRUE)*F10),MIN(VLOOKUP($E33,[1]DATA!$G$8:$J$10,4,TRUE)-F28-F23,F10-F34)))</f>
        <v>727.5</v>
      </c>
      <c r="G33" s="71">
        <f>MAX(0,IF(VLOOKUP($E33,[1]DATA!$G$8:$I$10,3,FALSE)=1,MIN(VLOOKUP($E33,[1]DATA!$G$8:$J$10,4,TRUE)-G28-G23,VLOOKUP($E33,[1]DATA!$G$8:$J$10,2,TRUE)*G10),MIN(VLOOKUP($E33,[1]DATA!$G$8:$J$10,4,TRUE)-G28-G23,G10-G34)))</f>
        <v>727.5</v>
      </c>
      <c r="H33" s="71">
        <f>MAX(0,IF(VLOOKUP($E33,[1]DATA!$G$8:$I$10,3,FALSE)=1,MIN(VLOOKUP($E33,[1]DATA!$G$8:$J$10,4,TRUE)-H28-H23,VLOOKUP($E33,[1]DATA!$G$8:$J$10,2,TRUE)*H10),MIN(VLOOKUP($E33,[1]DATA!$G$8:$J$10,4,TRUE)-H28-H23,H10-H34)))</f>
        <v>727.5</v>
      </c>
      <c r="I33" s="71">
        <f>MAX(0,IF(VLOOKUP($E33,[1]DATA!$G$8:$I$10,3,FALSE)=1,MIN(VLOOKUP($E33,[1]DATA!$G$8:$J$10,4,TRUE)-I28-I23,VLOOKUP($E33,[1]DATA!$G$8:$J$10,2,TRUE)*I10),MIN(VLOOKUP($E33,[1]DATA!$G$8:$J$10,4,TRUE)-I28-I23,I10-I34)))</f>
        <v>727.5</v>
      </c>
    </row>
    <row r="34" spans="4:10">
      <c r="D34" s="126"/>
      <c r="E34" s="52" t="s">
        <v>53</v>
      </c>
      <c r="F34" s="71">
        <f>MAX(0,IF(VLOOKUP($E34,[1]DATA!$G$8:$I$10,3,FALSE)=1,MIN(VLOOKUP($E34,[1]DATA!$G$8:$J$10,4,TRUE)-F29-F24,VLOOKUP($E34,[1]DATA!$G$8:$J$10,2,TRUE)*F12),MIN(VLOOKUP($E34,[1]DATA!$G$8:$J$10,4,TRUE)-F29-F24,F10-F33)))</f>
        <v>292.5</v>
      </c>
      <c r="G34" s="71">
        <f>MAX(0,IF(VLOOKUP($E34,[1]DATA!$G$8:$I$10,3,FALSE)=1,MIN(VLOOKUP($E34,[1]DATA!$G$8:$J$10,4,TRUE)-G29-G24,VLOOKUP($E34,[1]DATA!$G$8:$J$10,2,TRUE)*G12),MIN(VLOOKUP($E34,[1]DATA!$G$8:$J$10,4,TRUE)-G29-G24,G10-G33)))</f>
        <v>292.5</v>
      </c>
      <c r="H34" s="71">
        <f>MAX(0,IF(VLOOKUP($E34,[1]DATA!$G$8:$I$10,3,FALSE)=1,MIN(VLOOKUP($E34,[1]DATA!$G$8:$J$10,4,TRUE)-H29-H24,VLOOKUP($E34,[1]DATA!$G$8:$J$10,2,TRUE)*H12),MIN(VLOOKUP($E34,[1]DATA!$G$8:$J$10,4,TRUE)-H29-H24,H10-H33)))</f>
        <v>292.5</v>
      </c>
      <c r="I34" s="71">
        <f>MAX(0,IF(VLOOKUP($E34,[1]DATA!$G$8:$I$10,3,FALSE)=1,MIN(VLOOKUP($E34,[1]DATA!$G$8:$J$10,4,TRUE)-I29-I24,VLOOKUP($E34,[1]DATA!$G$8:$J$10,2,TRUE)*I12),MIN(VLOOKUP($E34,[1]DATA!$G$8:$J$10,4,TRUE)-I29-I24,I10-I33)))</f>
        <v>292.5</v>
      </c>
    </row>
    <row r="35" spans="4:10">
      <c r="E35" s="119" t="s">
        <v>54</v>
      </c>
      <c r="F35" s="61">
        <f>SUM(F33:F34)-F10</f>
        <v>0</v>
      </c>
      <c r="G35" s="61">
        <f>SUM(G33:G34)-G10</f>
        <v>0</v>
      </c>
      <c r="H35" s="61">
        <f>SUM(H33:H34)-H10</f>
        <v>0</v>
      </c>
      <c r="I35" s="61">
        <f>SUM(I33:I34)-I10</f>
        <v>0</v>
      </c>
    </row>
    <row r="39" spans="4:10" hidden="1">
      <c r="D39" s="58" t="s">
        <v>22</v>
      </c>
      <c r="E39" s="59"/>
      <c r="F39" s="59" t="str">
        <f>IF(AND(F4&gt;0,E4&gt;0),"1 ","")</f>
        <v/>
      </c>
      <c r="G39" s="59" t="str">
        <f>IF(AND(G4&gt;0,F4&gt;0),"1 ","")</f>
        <v xml:space="preserve">1 </v>
      </c>
      <c r="H39" s="59" t="str">
        <f>IF(AND(H4&gt;0,G4&gt;0),"1 ","")</f>
        <v xml:space="preserve">1 </v>
      </c>
      <c r="I39" s="59" t="str">
        <f>IF(AND(I4&gt;0,H4&gt;0),"1 ","")</f>
        <v xml:space="preserve">1 </v>
      </c>
      <c r="J39" s="60"/>
    </row>
    <row r="40" spans="4:10" hidden="1">
      <c r="D40" s="58" t="s">
        <v>22</v>
      </c>
      <c r="E40" s="59"/>
      <c r="F40" s="59" t="str">
        <f>IF(AND(F7&gt;0,E7&gt;0),"2 ","")</f>
        <v/>
      </c>
      <c r="G40" s="59" t="str">
        <f>IF(AND(G7&gt;0,F7&gt;0),"2 ","")</f>
        <v xml:space="preserve">2 </v>
      </c>
      <c r="H40" s="59" t="str">
        <f>IF(AND(H7&gt;0,G7&gt;0),"2 ","")</f>
        <v xml:space="preserve">2 </v>
      </c>
      <c r="I40" s="59" t="str">
        <f>IF(AND(I7&gt;0,H7&gt;0),"2 ","")</f>
        <v xml:space="preserve">2 </v>
      </c>
      <c r="J40" s="60"/>
    </row>
    <row r="41" spans="4:10" hidden="1">
      <c r="D41" s="58" t="s">
        <v>22</v>
      </c>
      <c r="E41" s="59"/>
      <c r="F41" s="59" t="str">
        <f>IF(AND(F10&gt;0,E10&gt;0),"3 ","")</f>
        <v/>
      </c>
      <c r="G41" s="59" t="str">
        <f>IF(AND(G10&gt;0,F10&gt;0),"3 ","")</f>
        <v xml:space="preserve">3 </v>
      </c>
      <c r="H41" s="59" t="str">
        <f>IF(AND(H10&gt;0,G10&gt;0),"3 ","")</f>
        <v xml:space="preserve">3 </v>
      </c>
      <c r="I41" s="59" t="str">
        <f>IF(AND(I10&gt;0,H10&gt;0),"3 ","")</f>
        <v xml:space="preserve">3 </v>
      </c>
      <c r="J41" s="60"/>
    </row>
  </sheetData>
  <sheetProtection algorithmName="SHA-512" hashValue="QC+KhaMvVVFtPE30aDe3vU7+USx/lVwpPTrKmxr0dJuCVVhiAkKS4wrzlykMSJjgwfzG/nxgNwYzmgMAJLAsGA==" saltValue="52fBzVjT33dio3VXVJ8xtg==" spinCount="100000" sheet="1" objects="1" scenarios="1"/>
  <scenarios current="0">
    <scenario name="2"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 name="33"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s>
  <mergeCells count="11">
    <mergeCell ref="L9:L10"/>
    <mergeCell ref="D23:D24"/>
    <mergeCell ref="D28:D29"/>
    <mergeCell ref="D33:D34"/>
    <mergeCell ref="B2:D2"/>
    <mergeCell ref="B3:B5"/>
    <mergeCell ref="C3:D3"/>
    <mergeCell ref="B6:B8"/>
    <mergeCell ref="C6:D6"/>
    <mergeCell ref="B9:B11"/>
    <mergeCell ref="C9:D9"/>
  </mergeCells>
  <conditionalFormatting sqref="J7 J4 J10">
    <cfRule type="cellIs" dxfId="20" priority="10" operator="equal">
      <formula>0</formula>
    </cfRule>
  </conditionalFormatting>
  <conditionalFormatting sqref="J4 J7 J10">
    <cfRule type="cellIs" dxfId="19" priority="8" operator="greaterThan">
      <formula>0</formula>
    </cfRule>
    <cfRule type="cellIs" dxfId="18" priority="9" operator="lessThan">
      <formula>0</formula>
    </cfRule>
  </conditionalFormatting>
  <conditionalFormatting sqref="L9:L10">
    <cfRule type="containsText" dxfId="17" priority="4" operator="containsText" text="‌ ✓">
      <formula>NOT(ISERROR(SEARCH("‌ ✓",L9)))</formula>
    </cfRule>
  </conditionalFormatting>
  <conditionalFormatting sqref="F25:I26">
    <cfRule type="cellIs" dxfId="16" priority="3" operator="lessThan">
      <formula>0</formula>
    </cfRule>
  </conditionalFormatting>
  <conditionalFormatting sqref="F30:I31">
    <cfRule type="cellIs" dxfId="15" priority="2" operator="lessThan">
      <formula>0</formula>
    </cfRule>
  </conditionalFormatting>
  <conditionalFormatting sqref="F35:I35">
    <cfRule type="cellIs" dxfId="14" priority="1" operator="lessThan">
      <formula>0</formula>
    </cfRule>
  </conditionalFormatting>
  <dataValidations count="2">
    <dataValidation type="list" allowBlank="1" showInputMessage="1" showErrorMessage="1" sqref="G15:I15" xr:uid="{1A3B32B7-9A74-4900-A548-BBC172CC870F}">
      <formula1>G$39:G$41</formula1>
    </dataValidation>
    <dataValidation type="list" allowBlank="1" showInputMessage="1" showErrorMessage="1" sqref="F15" xr:uid="{318EEDD9-57C0-4398-889F-9359C96890F5}">
      <formula1>$F$39:$F$41</formula1>
    </dataValidation>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745F-614B-4EEF-A3EA-5AF17AE3DE84}">
  <sheetPr codeName="Sheet8">
    <tabColor theme="9" tint="-0.249977111117893"/>
  </sheetPr>
  <dimension ref="B2:Q41"/>
  <sheetViews>
    <sheetView rightToLeft="1" topLeftCell="A17" zoomScale="70" zoomScaleNormal="70" workbookViewId="0">
      <selection activeCell="J43" sqref="J43"/>
    </sheetView>
  </sheetViews>
  <sheetFormatPr defaultColWidth="9" defaultRowHeight="27.75"/>
  <cols>
    <col min="1" max="1" width="9" style="16" customWidth="1"/>
    <col min="2" max="2" width="4.5" style="16" bestFit="1" customWidth="1"/>
    <col min="3" max="3" width="6.375" style="16" bestFit="1" customWidth="1"/>
    <col min="4" max="4" width="12.75" style="16" bestFit="1" customWidth="1"/>
    <col min="5" max="5" width="7.75" style="16" bestFit="1" customWidth="1"/>
    <col min="6" max="8" width="20.875" style="16" bestFit="1" customWidth="1"/>
    <col min="9" max="9" width="15" style="16" bestFit="1" customWidth="1"/>
    <col min="10" max="10" width="20.875" style="16" bestFit="1" customWidth="1"/>
    <col min="11" max="11" width="14.375" style="16" bestFit="1" customWidth="1"/>
    <col min="12" max="12" width="25" style="16" bestFit="1" customWidth="1"/>
    <col min="13" max="13" width="9" style="16"/>
    <col min="14" max="15" width="12.75" style="16" bestFit="1" customWidth="1"/>
    <col min="16" max="16" width="20.75" style="16" bestFit="1" customWidth="1"/>
    <col min="17" max="17" width="10.125" style="16" bestFit="1" customWidth="1"/>
    <col min="18" max="16384" width="9" style="16"/>
  </cols>
  <sheetData>
    <row r="2" spans="2:17" ht="28.5" thickBot="1">
      <c r="B2" s="127" t="s">
        <v>13</v>
      </c>
      <c r="C2" s="127"/>
      <c r="D2" s="128"/>
      <c r="E2" s="13">
        <v>8</v>
      </c>
      <c r="F2" s="13">
        <v>9</v>
      </c>
      <c r="G2" s="13">
        <v>10</v>
      </c>
      <c r="H2" s="13">
        <v>11</v>
      </c>
      <c r="I2" s="14">
        <v>12</v>
      </c>
      <c r="J2" s="15" t="s">
        <v>47</v>
      </c>
      <c r="L2" s="17"/>
      <c r="M2" s="17"/>
    </row>
    <row r="3" spans="2:17" ht="27.75" customHeight="1">
      <c r="B3" s="129">
        <v>1</v>
      </c>
      <c r="C3" s="130" t="s">
        <v>14</v>
      </c>
      <c r="D3" s="131"/>
      <c r="E3" s="18"/>
      <c r="F3" s="19">
        <f>'DATA 2'!G8</f>
        <v>425.75712366890201</v>
      </c>
      <c r="G3" s="19">
        <f>'DATA 2'!H8</f>
        <v>567.67616489186946</v>
      </c>
      <c r="H3" s="19">
        <f>'DATA 2'!I8</f>
        <v>851.51424733780402</v>
      </c>
      <c r="I3" s="19">
        <f>'DATA 2'!J8</f>
        <v>993.43328856077142</v>
      </c>
      <c r="J3" s="100"/>
      <c r="L3" s="20"/>
    </row>
    <row r="4" spans="2:17" ht="27.75" customHeight="1">
      <c r="B4" s="129"/>
      <c r="C4" s="21" t="s">
        <v>15</v>
      </c>
      <c r="D4" s="21">
        <f>SUM(F4:I4)</f>
        <v>2788</v>
      </c>
      <c r="E4" s="22"/>
      <c r="F4" s="23">
        <v>692</v>
      </c>
      <c r="G4" s="23">
        <v>690</v>
      </c>
      <c r="H4" s="23">
        <v>702</v>
      </c>
      <c r="I4" s="23">
        <v>704</v>
      </c>
      <c r="J4" s="101">
        <f>SUM(F4:I4)-SUM(F3:I3)</f>
        <v>-50.380824459346968</v>
      </c>
    </row>
    <row r="5" spans="2:17" ht="27.75" customHeight="1">
      <c r="B5" s="129"/>
      <c r="C5" s="25" t="s">
        <v>16</v>
      </c>
      <c r="D5" s="26">
        <f>DATA!E9</f>
        <v>50</v>
      </c>
      <c r="E5" s="27"/>
      <c r="F5" s="28">
        <f>D5-F3+F4</f>
        <v>316.24287633109799</v>
      </c>
      <c r="G5" s="29">
        <f>F5-G3+G4</f>
        <v>438.56671143922853</v>
      </c>
      <c r="H5" s="29">
        <f>G5-H3+H4</f>
        <v>289.0524641014245</v>
      </c>
      <c r="I5" s="30">
        <f>H5-I3+I4</f>
        <v>-0.38082445934696807</v>
      </c>
      <c r="J5" s="31"/>
    </row>
    <row r="6" spans="2:17" ht="27.75" customHeight="1" thickBot="1">
      <c r="B6" s="132">
        <v>2</v>
      </c>
      <c r="C6" s="133" t="s">
        <v>14</v>
      </c>
      <c r="D6" s="134"/>
      <c r="E6" s="32"/>
      <c r="F6" s="33">
        <f>'DATA 2'!G9</f>
        <v>632.84891579537327</v>
      </c>
      <c r="G6" s="33">
        <f>'DATA 2'!H9</f>
        <v>843.79855439383107</v>
      </c>
      <c r="H6" s="33">
        <f>'DATA 2'!I9</f>
        <v>1265.6978315907465</v>
      </c>
      <c r="I6" s="33">
        <f>'DATA 2'!J9</f>
        <v>1476.6474701892041</v>
      </c>
      <c r="J6" s="101"/>
      <c r="N6" s="34" t="s">
        <v>9</v>
      </c>
      <c r="O6" s="34" t="s">
        <v>8</v>
      </c>
      <c r="P6" s="35" t="s">
        <v>48</v>
      </c>
    </row>
    <row r="7" spans="2:17" ht="27.75" customHeight="1" thickBot="1">
      <c r="B7" s="132"/>
      <c r="C7" s="36" t="s">
        <v>15</v>
      </c>
      <c r="D7" s="36">
        <f>SUM(F7:I7)</f>
        <v>4127</v>
      </c>
      <c r="E7" s="37"/>
      <c r="F7" s="24">
        <v>1015</v>
      </c>
      <c r="G7" s="24">
        <v>1032</v>
      </c>
      <c r="H7" s="24">
        <v>1037</v>
      </c>
      <c r="I7" s="24">
        <v>1043</v>
      </c>
      <c r="J7" s="101">
        <f>SUM(F7:I7)-SUM(F6:I6)</f>
        <v>-91.992771969155001</v>
      </c>
      <c r="L7" s="38" t="s">
        <v>17</v>
      </c>
      <c r="N7" s="72">
        <f>DATA!M9</f>
        <v>0.97499999999999998</v>
      </c>
      <c r="O7" s="72">
        <f>DATA!M8</f>
        <v>0.95</v>
      </c>
      <c r="P7" s="81">
        <f>DATA!G6/4</f>
        <v>8736</v>
      </c>
    </row>
    <row r="8" spans="2:17" ht="27.75" customHeight="1" thickBot="1">
      <c r="B8" s="132"/>
      <c r="C8" s="39" t="s">
        <v>16</v>
      </c>
      <c r="D8" s="102">
        <f>DATA!E10</f>
        <v>90</v>
      </c>
      <c r="E8" s="40"/>
      <c r="F8" s="41">
        <f>D8-F6+F7</f>
        <v>472.15108420462673</v>
      </c>
      <c r="G8" s="42">
        <f>F8-G6+G7</f>
        <v>660.35252981079566</v>
      </c>
      <c r="H8" s="42">
        <f>G8-H6+H7</f>
        <v>431.65469822004911</v>
      </c>
      <c r="I8" s="43">
        <f>H8-I6+I7</f>
        <v>-1.992771969155001</v>
      </c>
      <c r="J8" s="31"/>
      <c r="L8" s="104">
        <f>J17+J18+J20</f>
        <v>45059513.305181257</v>
      </c>
    </row>
    <row r="9" spans="2:17" ht="27.75" customHeight="1">
      <c r="B9" s="129">
        <v>3</v>
      </c>
      <c r="C9" s="135" t="s">
        <v>14</v>
      </c>
      <c r="D9" s="136"/>
      <c r="E9" s="44"/>
      <c r="F9" s="45">
        <f>'DATA 2'!G10</f>
        <v>618.84396053572459</v>
      </c>
      <c r="G9" s="45">
        <f>'DATA 2'!H10</f>
        <v>825.12528071429961</v>
      </c>
      <c r="H9" s="45">
        <f>'DATA 2'!I10</f>
        <v>1237.6879210714492</v>
      </c>
      <c r="I9" s="45">
        <f>'DATA 2'!J10</f>
        <v>1443.969241250024</v>
      </c>
      <c r="J9" s="101"/>
      <c r="L9" s="124" t="str">
        <f>IF(MIN(F12:I12,F25:I25,F30:I30,F35:I35)=0,"‌ ✓","x infeasible")</f>
        <v>‌ ✓</v>
      </c>
    </row>
    <row r="10" spans="2:17" ht="27.75" customHeight="1" thickBot="1">
      <c r="B10" s="129"/>
      <c r="C10" s="21" t="s">
        <v>15</v>
      </c>
      <c r="D10" s="21">
        <f>SUM(F10:I10)</f>
        <v>4056</v>
      </c>
      <c r="E10" s="22"/>
      <c r="F10" s="23">
        <v>548</v>
      </c>
      <c r="G10" s="23">
        <v>825</v>
      </c>
      <c r="H10" s="23">
        <v>1238</v>
      </c>
      <c r="I10" s="23">
        <v>1445</v>
      </c>
      <c r="J10" s="101">
        <f>SUM(F10:I10)-SUM(F9:I9)</f>
        <v>-69.626403571497576</v>
      </c>
      <c r="L10" s="125"/>
    </row>
    <row r="11" spans="2:17" ht="28.5" customHeight="1" thickBot="1">
      <c r="B11" s="129"/>
      <c r="C11" s="25" t="s">
        <v>16</v>
      </c>
      <c r="D11" s="47">
        <f>DATA!E11</f>
        <v>70</v>
      </c>
      <c r="E11" s="48"/>
      <c r="F11" s="49">
        <f>D11-F9+F10</f>
        <v>-0.84396053572459095</v>
      </c>
      <c r="G11" s="50">
        <f>F11-G9+G10</f>
        <v>-0.96924125002419714</v>
      </c>
      <c r="H11" s="50">
        <f>G11-H9+H10</f>
        <v>-0.65716232147337905</v>
      </c>
      <c r="I11" s="51">
        <f>H11-I9+I10</f>
        <v>0.37359642850265118</v>
      </c>
      <c r="J11" s="31"/>
      <c r="N11" s="46">
        <v>3</v>
      </c>
      <c r="O11" s="46">
        <v>2</v>
      </c>
      <c r="P11" s="46">
        <v>1</v>
      </c>
      <c r="Q11" s="52" t="s">
        <v>18</v>
      </c>
    </row>
    <row r="12" spans="2:17">
      <c r="D12" s="53" t="s">
        <v>55</v>
      </c>
      <c r="E12" s="54"/>
      <c r="F12" s="55">
        <f>$P$7*$O$7*$N$7-F19-(F4*$P$17+F7*$O$17+F10*$N$17)</f>
        <v>3986.0533333333315</v>
      </c>
      <c r="G12" s="55">
        <f t="shared" ref="G12:I12" si="0">$P$7*$O$7*$N$7-G19-(G4*$P$17+G7*$O$17+G10*$N$17)</f>
        <v>3383.3699999999981</v>
      </c>
      <c r="H12" s="55">
        <f t="shared" si="0"/>
        <v>2494.4866666666649</v>
      </c>
      <c r="I12" s="55">
        <f t="shared" si="0"/>
        <v>2049.0699999999988</v>
      </c>
      <c r="J12" s="109">
        <f>SUM(F12:I12)</f>
        <v>11912.979999999992</v>
      </c>
      <c r="N12" s="98">
        <f>DATA!C14</f>
        <v>-255000</v>
      </c>
      <c r="O12" s="98">
        <f>DATA!D14</f>
        <v>-255000</v>
      </c>
      <c r="P12" s="98">
        <f>DATA!E14</f>
        <v>-255000</v>
      </c>
      <c r="Q12" s="57" t="s">
        <v>19</v>
      </c>
    </row>
    <row r="13" spans="2:17">
      <c r="D13" s="58" t="s">
        <v>20</v>
      </c>
      <c r="E13" s="59"/>
      <c r="F13" s="59">
        <f>COUNTIF(F4:F10,"&gt;0")-COUNTIF(F5:F6,"&gt;0")-COUNTIF(F8:F9,"&gt;0")-IF(OR(AND(F4&gt;0,E4&gt;0),AND(F7&gt;0,E7&gt;0),AND(F10&gt;0,E10&gt;0)),1,0)</f>
        <v>3</v>
      </c>
      <c r="G13" s="59">
        <f t="shared" ref="G13:I13" si="1">COUNTIF(G4:G10,"&gt;0")-COUNTIF(G5:G6,"&gt;0")-COUNTIF(G8:G9,"&gt;0")-IF(OR(AND(G4&gt;0,F4&gt;0),AND(G7&gt;0,F7&gt;0),AND(G10&gt;0,F10&gt;0)),1,0)</f>
        <v>2</v>
      </c>
      <c r="H13" s="59">
        <f t="shared" si="1"/>
        <v>2</v>
      </c>
      <c r="I13" s="59">
        <f t="shared" si="1"/>
        <v>2</v>
      </c>
      <c r="J13" s="60"/>
      <c r="N13" s="98">
        <f>DATA!C15</f>
        <v>16000</v>
      </c>
      <c r="O13" s="98">
        <f>DATA!D15</f>
        <v>16000</v>
      </c>
      <c r="P13" s="98">
        <f>DATA!E15</f>
        <v>16000</v>
      </c>
      <c r="Q13" s="57" t="s">
        <v>21</v>
      </c>
    </row>
    <row r="14" spans="2:17">
      <c r="D14" s="58" t="s">
        <v>22</v>
      </c>
      <c r="E14" s="59"/>
      <c r="F14" s="112" t="str">
        <f>IF(AND(F4&gt;0,E4&gt;0),"1, ","")&amp;IF(AND(F7&gt;0,E7&gt;0),"2, ","")&amp;IF(AND(F10&gt;0,E10&gt;0),"3, ","")</f>
        <v/>
      </c>
      <c r="G14" s="112" t="str">
        <f t="shared" ref="G14:H14" si="2">IF(AND(G4&gt;0,F4&gt;0),"1, ","")&amp;IF(AND(G7&gt;0,F7&gt;0),"2, ","")&amp;IF(AND(G10&gt;0,F10&gt;0),"3, ","")</f>
        <v xml:space="preserve">1, 2, 3, </v>
      </c>
      <c r="H14" s="112" t="str">
        <f t="shared" si="2"/>
        <v xml:space="preserve">1, 2, 3, </v>
      </c>
      <c r="I14" s="112" t="str">
        <f>IF(AND(I4&gt;0,H4&gt;0),"1, ","")&amp;IF(AND(I7&gt;0,H7&gt;0),"2, ","")&amp;IF(AND(I10&gt;0,H10&gt;0),"3, ","")</f>
        <v xml:space="preserve">1, 2, 3, </v>
      </c>
      <c r="J14" s="60"/>
      <c r="N14" s="98">
        <f>DATA!C16</f>
        <v>230000</v>
      </c>
      <c r="O14" s="98">
        <f>DATA!D16</f>
        <v>210000</v>
      </c>
      <c r="P14" s="98">
        <f>DATA!E16</f>
        <v>250000</v>
      </c>
      <c r="Q14" s="57" t="s">
        <v>23</v>
      </c>
    </row>
    <row r="15" spans="2:17">
      <c r="D15" s="58" t="s">
        <v>24</v>
      </c>
      <c r="E15" s="59"/>
      <c r="F15" s="110" t="s">
        <v>25</v>
      </c>
      <c r="G15" s="110" t="s">
        <v>26</v>
      </c>
      <c r="H15" s="110" t="s">
        <v>27</v>
      </c>
      <c r="I15" s="110" t="s">
        <v>27</v>
      </c>
      <c r="J15" s="60"/>
      <c r="L15" s="61"/>
      <c r="N15" s="103">
        <f>DATA!C17</f>
        <v>3</v>
      </c>
      <c r="O15" s="103">
        <f>DATA!D17</f>
        <v>2.1</v>
      </c>
      <c r="P15" s="103">
        <f>DATA!E17</f>
        <v>2.4</v>
      </c>
      <c r="Q15" s="57" t="s">
        <v>28</v>
      </c>
    </row>
    <row r="16" spans="2:17" hidden="1">
      <c r="D16" s="58"/>
      <c r="E16" s="59">
        <f>IFERROR(VALUE(E15),0)</f>
        <v>0</v>
      </c>
      <c r="F16" s="59">
        <f>IFERROR(VALUE(F15),0)</f>
        <v>0</v>
      </c>
      <c r="G16" s="59">
        <f t="shared" ref="G16:I16" si="3">IFERROR(VALUE(G15),0)</f>
        <v>1</v>
      </c>
      <c r="H16" s="59">
        <f t="shared" si="3"/>
        <v>2</v>
      </c>
      <c r="I16" s="59">
        <f t="shared" si="3"/>
        <v>2</v>
      </c>
      <c r="J16" s="60"/>
      <c r="N16" s="62">
        <v>0</v>
      </c>
      <c r="O16" s="62">
        <v>0</v>
      </c>
      <c r="P16" s="62">
        <v>0</v>
      </c>
      <c r="Q16" s="57" t="s">
        <v>29</v>
      </c>
    </row>
    <row r="17" spans="4:17">
      <c r="D17" s="63" t="s">
        <v>30</v>
      </c>
      <c r="E17" s="59"/>
      <c r="F17" s="81">
        <f>IF(F5&lt;0,F5*$P$12,F5*$P$13)+IF(F8&lt;0,F8*$O$12,F8*$O$13)+IF(F11&lt;0,F11*$N$12,F11*$N$13)</f>
        <v>12829513.305181365</v>
      </c>
      <c r="G17" s="81">
        <f>IF(G5&lt;0,G5*$P$12,G5*$P$13)+IF(G8&lt;0,G8*$O$12,G8*$O$13)+IF(G11&lt;0,G11*$N$12,G11*$N$13)</f>
        <v>17829864.378756557</v>
      </c>
      <c r="H17" s="81">
        <f>IF(H5&lt;0,H5*$P$12,H5*$P$13)+IF(H8&lt;0,H8*$O$12,H8*$O$13)+IF(H11&lt;0,H11*$N$12,H11*$N$13)</f>
        <v>11698890.989119289</v>
      </c>
      <c r="I17" s="107">
        <f>IF(I5&lt;0,I5*$P$12,I5*$P$13)+IF(I8&lt;0,I8*$O$12,I8*$O$13)+IF(I11&lt;0,I11*$N$12,I11*$N$13)</f>
        <v>611244.63212404447</v>
      </c>
      <c r="J17" s="108">
        <f>SUM(F17:I17)</f>
        <v>42969513.305181257</v>
      </c>
      <c r="N17" s="97">
        <f>DATA!D11/60</f>
        <v>2.0833333333333335</v>
      </c>
      <c r="O17" s="97">
        <f>DATA!D10/60</f>
        <v>1.8333333333333333</v>
      </c>
      <c r="P17" s="97">
        <f>DATA!D9/60</f>
        <v>1.5833333333333333</v>
      </c>
      <c r="Q17" s="57" t="s">
        <v>11</v>
      </c>
    </row>
    <row r="18" spans="4:17">
      <c r="D18" s="64" t="s">
        <v>31</v>
      </c>
      <c r="E18" s="59"/>
      <c r="F18" s="81">
        <f>IF(F4&gt;0,$P$14,0)+IF(F7&gt;0,$O$14,0)+IF(F10&gt;0,$N$14,0)-IFERROR(INDEX($N$11:$P$14,4,MATCH(F16,$N$11:$P$11,0)),0)</f>
        <v>690000</v>
      </c>
      <c r="G18" s="81">
        <f t="shared" ref="G18:I18" si="4">IF(G4&gt;0,$P$14,0)+IF(G7&gt;0,$O$14,0)+IF(G10&gt;0,$N$14,0)-IFERROR(INDEX($N$11:$P$14,4,MATCH(G16,$N$11:$P$11,0)),0)</f>
        <v>440000</v>
      </c>
      <c r="H18" s="81">
        <f t="shared" si="4"/>
        <v>480000</v>
      </c>
      <c r="I18" s="81">
        <f t="shared" si="4"/>
        <v>480000</v>
      </c>
      <c r="J18" s="108">
        <f>SUM(F18:I18)</f>
        <v>2090000</v>
      </c>
      <c r="N18" s="99"/>
      <c r="O18" s="99"/>
      <c r="P18" s="99"/>
    </row>
    <row r="19" spans="4:17">
      <c r="D19" s="64" t="s">
        <v>32</v>
      </c>
      <c r="E19" s="59"/>
      <c r="F19" s="113">
        <f>IF(F4&gt;0,$P$15,0)+IF(F7&gt;0,$O$15,0)+IF(F10&gt;0,$N$15,0)-IFERROR(INDEX($N$11:$P$15,5,MATCH(F16,$N$11:$P$11,0)),0)</f>
        <v>7.5</v>
      </c>
      <c r="G19" s="113">
        <f t="shared" ref="G19:I19" si="5">IF(G4&gt;0,$P$15,0)+IF(G7&gt;0,$O$15,0)+IF(G10&gt;0,$N$15,0)-IFERROR(INDEX($N$11:$P$15,5,MATCH(G16,$N$11:$P$11,0)),0)</f>
        <v>5.0999999999999996</v>
      </c>
      <c r="H19" s="113">
        <f t="shared" si="5"/>
        <v>5.4</v>
      </c>
      <c r="I19" s="113">
        <f t="shared" si="5"/>
        <v>5.4</v>
      </c>
      <c r="J19" s="65">
        <f t="shared" ref="J19:J20" si="6">SUM(F19:I19)</f>
        <v>23.4</v>
      </c>
    </row>
    <row r="20" spans="4:17" ht="28.5" hidden="1" thickBot="1">
      <c r="D20" s="66" t="s">
        <v>29</v>
      </c>
      <c r="E20" s="67"/>
      <c r="F20" s="68">
        <f>F4*$P$16+F7*$O$16+F10*$N$16</f>
        <v>0</v>
      </c>
      <c r="G20" s="68">
        <f>G4*$P$16+G7*$O$16+G10*$N$16</f>
        <v>0</v>
      </c>
      <c r="H20" s="68">
        <f>H4*$P$16+H7*$O$16+H10*$N$16</f>
        <v>0</v>
      </c>
      <c r="I20" s="69">
        <f>I4*$P$16+I7*$O$16+I10*$N$16</f>
        <v>0</v>
      </c>
      <c r="J20" s="70">
        <f t="shared" si="6"/>
        <v>0</v>
      </c>
    </row>
    <row r="22" spans="4:17">
      <c r="F22" s="16">
        <f t="shared" ref="F22:I22" si="7">F2</f>
        <v>9</v>
      </c>
      <c r="G22" s="16">
        <f t="shared" si="7"/>
        <v>10</v>
      </c>
      <c r="H22" s="16">
        <f t="shared" si="7"/>
        <v>11</v>
      </c>
      <c r="I22" s="16">
        <f t="shared" si="7"/>
        <v>12</v>
      </c>
    </row>
    <row r="23" spans="4:17">
      <c r="D23" s="126">
        <v>1</v>
      </c>
      <c r="E23" s="52" t="s">
        <v>52</v>
      </c>
      <c r="F23" s="71">
        <f>MAX(0,IF(VLOOKUP($E23,[1]DATA!$G$8:$I$10,3,FALSE)=1,MIN(VLOOKUP($E23,[1]DATA!$G$8:$J$10,4,TRUE),VLOOKUP($E23,[1]DATA!$G$8:$J$10,2,TRUE)*F$4),MIN(VLOOKUP($E23,[1]DATA!$G$8:$J$10,4,TRUE),F$4-F24)))</f>
        <v>242.2</v>
      </c>
      <c r="G23" s="71">
        <f>MAX(0,IF(VLOOKUP($E23,[1]DATA!$G$8:$I$10,3,FALSE)=1,MIN(VLOOKUP($E23,[1]DATA!$G$8:$J$10,4,TRUE),VLOOKUP($E23,[1]DATA!$G$8:$J$10,2,TRUE)*G$4),MIN(VLOOKUP($E23,[1]DATA!$G$8:$J$10,4,TRUE),G$4-G24)))</f>
        <v>241.5</v>
      </c>
      <c r="H23" s="71">
        <f>MAX(0,IF(VLOOKUP($E23,[1]DATA!$G$8:$I$10,3,FALSE)=1,MIN(VLOOKUP($E23,[1]DATA!$G$8:$J$10,4,TRUE),VLOOKUP($E23,[1]DATA!$G$8:$J$10,2,TRUE)*H$4),MIN(VLOOKUP($E23,[1]DATA!$G$8:$J$10,4,TRUE),H$4-H24)))</f>
        <v>245.7</v>
      </c>
      <c r="I23" s="71">
        <f>MAX(0,IF(VLOOKUP($E23,[1]DATA!$G$8:$I$10,3,FALSE)=1,MIN(VLOOKUP($E23,[1]DATA!$G$8:$J$10,4,TRUE),VLOOKUP($E23,[1]DATA!$G$8:$J$10,2,TRUE)*I$4),MIN(VLOOKUP($E23,[1]DATA!$G$8:$J$10,4,TRUE),I$4-I24)))</f>
        <v>246.39999999999998</v>
      </c>
    </row>
    <row r="24" spans="4:17">
      <c r="D24" s="126"/>
      <c r="E24" s="52" t="s">
        <v>53</v>
      </c>
      <c r="F24" s="71">
        <f>MAX(0,IF(VLOOKUP($E24,[1]DATA!$G$8:$I$10,3,FALSE)=1,MIN(VLOOKUP($E24,[1]DATA!$G$8:$J$10,4,TRUE),VLOOKUP($E24,[1]DATA!$G$8:$J$10,2,TRUE)*F$4),MIN(VLOOKUP($E24,[1]DATA!$G$8:$J$10,4,TRUE),F$4-F25)))</f>
        <v>449.8</v>
      </c>
      <c r="G24" s="71">
        <f>MAX(0,IF(VLOOKUP($E24,[1]DATA!$G$8:$I$10,3,FALSE)=1,MIN(VLOOKUP($E24,[1]DATA!$G$8:$J$10,4,TRUE),VLOOKUP($E24,[1]DATA!$G$8:$J$10,2,TRUE)*G$4),MIN(VLOOKUP($E24,[1]DATA!$G$8:$J$10,4,TRUE),G$4-G25)))</f>
        <v>448.5</v>
      </c>
      <c r="H24" s="71">
        <f>MAX(0,IF(VLOOKUP($E24,[1]DATA!$G$8:$I$10,3,FALSE)=1,MIN(VLOOKUP($E24,[1]DATA!$G$8:$J$10,4,TRUE),VLOOKUP($E24,[1]DATA!$G$8:$J$10,2,TRUE)*H$4),MIN(VLOOKUP($E24,[1]DATA!$G$8:$J$10,4,TRUE),H$4-H25)))</f>
        <v>456.3</v>
      </c>
      <c r="I24" s="71">
        <f>MAX(0,IF(VLOOKUP($E24,[1]DATA!$G$8:$I$10,3,FALSE)=1,MIN(VLOOKUP($E24,[1]DATA!$G$8:$J$10,4,TRUE),VLOOKUP($E24,[1]DATA!$G$8:$J$10,2,TRUE)*I$4),MIN(VLOOKUP($E24,[1]DATA!$G$8:$J$10,4,TRUE),I$4-I25)))</f>
        <v>457.6</v>
      </c>
    </row>
    <row r="25" spans="4:17">
      <c r="E25" s="119" t="s">
        <v>54</v>
      </c>
      <c r="F25" s="61">
        <f>SUM(F23:F24)-F4</f>
        <v>0</v>
      </c>
      <c r="G25" s="61">
        <f>SUM(G23:G24)-G4</f>
        <v>0</v>
      </c>
      <c r="H25" s="61">
        <f>SUM(H23:H24)-H4</f>
        <v>0</v>
      </c>
      <c r="I25" s="61">
        <f>SUM(I23:I24)-I4</f>
        <v>0</v>
      </c>
    </row>
    <row r="26" spans="4:17">
      <c r="E26" s="119"/>
      <c r="F26" s="61"/>
      <c r="G26" s="61"/>
      <c r="H26" s="61"/>
      <c r="I26" s="61"/>
    </row>
    <row r="27" spans="4:17">
      <c r="F27" s="61">
        <f t="shared" ref="F27:I27" si="8">F2</f>
        <v>9</v>
      </c>
      <c r="G27" s="61">
        <f t="shared" si="8"/>
        <v>10</v>
      </c>
      <c r="H27" s="61">
        <f t="shared" si="8"/>
        <v>11</v>
      </c>
      <c r="I27" s="61">
        <f t="shared" si="8"/>
        <v>12</v>
      </c>
    </row>
    <row r="28" spans="4:17">
      <c r="D28" s="126">
        <v>2</v>
      </c>
      <c r="E28" s="52" t="s">
        <v>52</v>
      </c>
      <c r="F28" s="71">
        <f>MAX(0,IF(VLOOKUP($E28,[1]DATA!$G$8:$I$10,3,FALSE)=1,MIN(VLOOKUP($E28,[1]DATA!$G$8:$J$10,4,TRUE)-F23,VLOOKUP($E28,[1]DATA!$G$8:$J$10,2,TRUE)*F$7),MIN(VLOOKUP($E28,[1]DATA!$G$8:$J$10,4,TRUE)-F23,F$7-F29)))</f>
        <v>355.25</v>
      </c>
      <c r="G28" s="71">
        <f>MAX(0,IF(VLOOKUP($E28,[1]DATA!$G$8:$I$10,3,FALSE)=1,MIN(VLOOKUP($E28,[1]DATA!$G$8:$J$10,4,TRUE)-G23,VLOOKUP($E28,[1]DATA!$G$8:$J$10,2,TRUE)*G$7),MIN(VLOOKUP($E28,[1]DATA!$G$8:$J$10,4,TRUE)-G23,G$7-G29)))</f>
        <v>361.19999999999993</v>
      </c>
      <c r="H28" s="71">
        <f>MAX(0,IF(VLOOKUP($E28,[1]DATA!$G$8:$I$10,3,FALSE)=1,MIN(VLOOKUP($E28,[1]DATA!$G$8:$J$10,4,TRUE)-H23,VLOOKUP($E28,[1]DATA!$G$8:$J$10,2,TRUE)*H$7),MIN(VLOOKUP($E28,[1]DATA!$G$8:$J$10,4,TRUE)-H23,H$7-H29)))</f>
        <v>362.94999999999993</v>
      </c>
      <c r="I28" s="71">
        <f>MAX(0,IF(VLOOKUP($E28,[1]DATA!$G$8:$I$10,3,FALSE)=1,MIN(VLOOKUP($E28,[1]DATA!$G$8:$J$10,4,TRUE)-I23,VLOOKUP($E28,[1]DATA!$G$8:$J$10,2,TRUE)*I$7),MIN(VLOOKUP($E28,[1]DATA!$G$8:$J$10,4,TRUE)-I23,I$7-I29)))</f>
        <v>365.04999999999995</v>
      </c>
    </row>
    <row r="29" spans="4:17">
      <c r="D29" s="126"/>
      <c r="E29" s="52" t="s">
        <v>53</v>
      </c>
      <c r="F29" s="71">
        <f>MAX(0,IF(VLOOKUP($E29,[1]DATA!$G$8:$I$10,3,FALSE)=1,MIN(VLOOKUP($E29,[1]DATA!$G$8:$J$10,4,TRUE)-F24,VLOOKUP($E29,[1]DATA!$G$8:$J$10,2,TRUE)*F$7),MIN(VLOOKUP($E29,[1]DATA!$G$8:$J$10,4,TRUE)-F24,F$7-F30)))</f>
        <v>659.75</v>
      </c>
      <c r="G29" s="71">
        <f>MAX(0,IF(VLOOKUP($E29,[1]DATA!$G$8:$I$10,3,FALSE)=1,MIN(VLOOKUP($E29,[1]DATA!$G$8:$J$10,4,TRUE)-G24,VLOOKUP($E29,[1]DATA!$G$8:$J$10,2,TRUE)*G$7),MIN(VLOOKUP($E29,[1]DATA!$G$8:$J$10,4,TRUE)-G24,G$7-G30)))</f>
        <v>670.80000000000007</v>
      </c>
      <c r="H29" s="71">
        <f>MAX(0,IF(VLOOKUP($E29,[1]DATA!$G$8:$I$10,3,FALSE)=1,MIN(VLOOKUP($E29,[1]DATA!$G$8:$J$10,4,TRUE)-H24,VLOOKUP($E29,[1]DATA!$G$8:$J$10,2,TRUE)*H$7),MIN(VLOOKUP($E29,[1]DATA!$G$8:$J$10,4,TRUE)-H24,H$7-H30)))</f>
        <v>674.05000000000007</v>
      </c>
      <c r="I29" s="71">
        <f>MAX(0,IF(VLOOKUP($E29,[1]DATA!$G$8:$I$10,3,FALSE)=1,MIN(VLOOKUP($E29,[1]DATA!$G$8:$J$10,4,TRUE)-I24,VLOOKUP($E29,[1]DATA!$G$8:$J$10,2,TRUE)*I$7),MIN(VLOOKUP($E29,[1]DATA!$G$8:$J$10,4,TRUE)-I24,I$7-I30)))</f>
        <v>677.95</v>
      </c>
    </row>
    <row r="30" spans="4:17">
      <c r="E30" s="119" t="s">
        <v>54</v>
      </c>
      <c r="F30" s="61">
        <f>SUM(F28:F29)-F7</f>
        <v>0</v>
      </c>
      <c r="G30" s="61">
        <f>SUM(G28:G29)-G7</f>
        <v>0</v>
      </c>
      <c r="H30" s="61">
        <f>SUM(H28:H29)-H7</f>
        <v>0</v>
      </c>
      <c r="I30" s="61">
        <f>SUM(I28:I29)-I7</f>
        <v>0</v>
      </c>
    </row>
    <row r="31" spans="4:17">
      <c r="E31" s="119"/>
      <c r="F31" s="61"/>
      <c r="G31" s="61"/>
      <c r="H31" s="61"/>
      <c r="I31" s="61"/>
    </row>
    <row r="32" spans="4:17">
      <c r="F32" s="61">
        <f t="shared" ref="F32:I32" si="9">F2</f>
        <v>9</v>
      </c>
      <c r="G32" s="61">
        <f t="shared" si="9"/>
        <v>10</v>
      </c>
      <c r="H32" s="61">
        <f t="shared" si="9"/>
        <v>11</v>
      </c>
      <c r="I32" s="61">
        <f t="shared" si="9"/>
        <v>12</v>
      </c>
    </row>
    <row r="33" spans="4:10">
      <c r="D33" s="126">
        <v>3</v>
      </c>
      <c r="E33" s="52" t="s">
        <v>52</v>
      </c>
      <c r="F33" s="71">
        <f>MAX(0,IF(VLOOKUP($E33,[1]DATA!$G$8:$I$10,3,FALSE)=1,MIN(VLOOKUP($E33,[1]DATA!$G$8:$J$10,4,TRUE)-F28-F23,VLOOKUP($E33,[1]DATA!$G$8:$J$10,2,TRUE)*F10),MIN(VLOOKUP($E33,[1]DATA!$G$8:$J$10,4,TRUE)-F28-F23,F10-F34)))</f>
        <v>227.55</v>
      </c>
      <c r="G33" s="71">
        <f>MAX(0,IF(VLOOKUP($E33,[1]DATA!$G$8:$I$10,3,FALSE)=1,MIN(VLOOKUP($E33,[1]DATA!$G$8:$J$10,4,TRUE)-G28-G23,VLOOKUP($E33,[1]DATA!$G$8:$J$10,2,TRUE)*G10),MIN(VLOOKUP($E33,[1]DATA!$G$8:$J$10,4,TRUE)-G28-G23,G10-G34)))</f>
        <v>514.30000000000007</v>
      </c>
      <c r="H33" s="71">
        <f>MAX(0,IF(VLOOKUP($E33,[1]DATA!$G$8:$I$10,3,FALSE)=1,MIN(VLOOKUP($E33,[1]DATA!$G$8:$J$10,4,TRUE)-H28-H23,VLOOKUP($E33,[1]DATA!$G$8:$J$10,2,TRUE)*H10),MIN(VLOOKUP($E33,[1]DATA!$G$8:$J$10,4,TRUE)-H28-H23,H10-H34)))</f>
        <v>938.35000000000014</v>
      </c>
      <c r="I33" s="71">
        <f>MAX(0,IF(VLOOKUP($E33,[1]DATA!$G$8:$I$10,3,FALSE)=1,MIN(VLOOKUP($E33,[1]DATA!$G$8:$J$10,4,TRUE)-I28-I23,VLOOKUP($E33,[1]DATA!$G$8:$J$10,2,TRUE)*I10),MIN(VLOOKUP($E33,[1]DATA!$G$8:$J$10,4,TRUE)-I28-I23,I10-I34)))</f>
        <v>1150.5500000000002</v>
      </c>
    </row>
    <row r="34" spans="4:10">
      <c r="D34" s="126"/>
      <c r="E34" s="52" t="s">
        <v>53</v>
      </c>
      <c r="F34" s="71">
        <f>MAX(0,IF(VLOOKUP($E34,[1]DATA!$G$8:$I$10,3,FALSE)=1,MIN(VLOOKUP($E34,[1]DATA!$G$8:$J$10,4,TRUE)-F29-F24,VLOOKUP($E34,[1]DATA!$G$8:$J$10,2,TRUE)*F12),MIN(VLOOKUP($E34,[1]DATA!$G$8:$J$10,4,TRUE)-F29-F24,F10-F33)))</f>
        <v>320.45</v>
      </c>
      <c r="G34" s="71">
        <f>MAX(0,IF(VLOOKUP($E34,[1]DATA!$G$8:$I$10,3,FALSE)=1,MIN(VLOOKUP($E34,[1]DATA!$G$8:$J$10,4,TRUE)-G29-G24,VLOOKUP($E34,[1]DATA!$G$8:$J$10,2,TRUE)*G12),MIN(VLOOKUP($E34,[1]DATA!$G$8:$J$10,4,TRUE)-G29-G24,G10-G33)))</f>
        <v>310.69999999999993</v>
      </c>
      <c r="H34" s="71">
        <f>MAX(0,IF(VLOOKUP($E34,[1]DATA!$G$8:$I$10,3,FALSE)=1,MIN(VLOOKUP($E34,[1]DATA!$G$8:$J$10,4,TRUE)-H29-H24,VLOOKUP($E34,[1]DATA!$G$8:$J$10,2,TRUE)*H12),MIN(VLOOKUP($E34,[1]DATA!$G$8:$J$10,4,TRUE)-H29-H24,H10-H33)))</f>
        <v>299.64999999999992</v>
      </c>
      <c r="I34" s="71">
        <f>MAX(0,IF(VLOOKUP($E34,[1]DATA!$G$8:$I$10,3,FALSE)=1,MIN(VLOOKUP($E34,[1]DATA!$G$8:$J$10,4,TRUE)-I29-I24,VLOOKUP($E34,[1]DATA!$G$8:$J$10,2,TRUE)*I12),MIN(VLOOKUP($E34,[1]DATA!$G$8:$J$10,4,TRUE)-I29-I24,I10-I33)))</f>
        <v>294.44999999999993</v>
      </c>
    </row>
    <row r="35" spans="4:10">
      <c r="E35" s="119" t="s">
        <v>54</v>
      </c>
      <c r="F35" s="61">
        <f>SUM(F33:F34)-F10</f>
        <v>0</v>
      </c>
      <c r="G35" s="61">
        <f>SUM(G33:G34)-G10</f>
        <v>0</v>
      </c>
      <c r="H35" s="61">
        <f>SUM(H33:H34)-H10</f>
        <v>0</v>
      </c>
      <c r="I35" s="61">
        <f>SUM(I33:I34)-I10</f>
        <v>0</v>
      </c>
    </row>
    <row r="39" spans="4:10" hidden="1">
      <c r="D39" s="58" t="s">
        <v>22</v>
      </c>
      <c r="E39" s="59"/>
      <c r="F39" s="59" t="str">
        <f>IF(AND(F4&gt;0,E4&gt;0),"1 ","")</f>
        <v/>
      </c>
      <c r="G39" s="59" t="str">
        <f>IF(AND(G4&gt;0,F4&gt;0),"1 ","")</f>
        <v xml:space="preserve">1 </v>
      </c>
      <c r="H39" s="59" t="str">
        <f>IF(AND(H4&gt;0,G4&gt;0),"1 ","")</f>
        <v xml:space="preserve">1 </v>
      </c>
      <c r="I39" s="59" t="str">
        <f>IF(AND(I4&gt;0,H4&gt;0),"1 ","")</f>
        <v xml:space="preserve">1 </v>
      </c>
      <c r="J39" s="60"/>
    </row>
    <row r="40" spans="4:10" hidden="1">
      <c r="D40" s="58" t="s">
        <v>22</v>
      </c>
      <c r="E40" s="59"/>
      <c r="F40" s="59" t="str">
        <f>IF(AND(F7&gt;0,E7&gt;0),"2 ","")</f>
        <v/>
      </c>
      <c r="G40" s="59" t="str">
        <f>IF(AND(G7&gt;0,F7&gt;0),"2 ","")</f>
        <v xml:space="preserve">2 </v>
      </c>
      <c r="H40" s="59" t="str">
        <f>IF(AND(H7&gt;0,G7&gt;0),"2 ","")</f>
        <v xml:space="preserve">2 </v>
      </c>
      <c r="I40" s="59" t="str">
        <f>IF(AND(I7&gt;0,H7&gt;0),"2 ","")</f>
        <v xml:space="preserve">2 </v>
      </c>
      <c r="J40" s="60"/>
    </row>
    <row r="41" spans="4:10" hidden="1">
      <c r="D41" s="58" t="s">
        <v>22</v>
      </c>
      <c r="E41" s="59"/>
      <c r="F41" s="59" t="str">
        <f>IF(AND(F10&gt;0,E10&gt;0),"3 ","")</f>
        <v/>
      </c>
      <c r="G41" s="59" t="str">
        <f>IF(AND(G10&gt;0,F10&gt;0),"3 ","")</f>
        <v xml:space="preserve">3 </v>
      </c>
      <c r="H41" s="59" t="str">
        <f>IF(AND(H10&gt;0,G10&gt;0),"3 ","")</f>
        <v xml:space="preserve">3 </v>
      </c>
      <c r="I41" s="59" t="str">
        <f>IF(AND(I10&gt;0,H10&gt;0),"3 ","")</f>
        <v xml:space="preserve">3 </v>
      </c>
      <c r="J41" s="60"/>
    </row>
  </sheetData>
  <sheetProtection algorithmName="SHA-512" hashValue="81sIHyiwoVu3S+vBjOVO6NA1X78X/OpQ+dkemzicT4LN//HvSAFAETbu8E87hyvO7hxRLLL2KTzYj6LdnuHd3g==" saltValue="XBi0c7JI8psnknVINbPv3g==" spinCount="100000" sheet="1" objects="1" scenarios="1"/>
  <scenarios current="0">
    <scenario name="2"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 name="33"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s>
  <mergeCells count="11">
    <mergeCell ref="L9:L10"/>
    <mergeCell ref="D23:D24"/>
    <mergeCell ref="D28:D29"/>
    <mergeCell ref="D33:D34"/>
    <mergeCell ref="B2:D2"/>
    <mergeCell ref="B3:B5"/>
    <mergeCell ref="C3:D3"/>
    <mergeCell ref="B6:B8"/>
    <mergeCell ref="C6:D6"/>
    <mergeCell ref="B9:B11"/>
    <mergeCell ref="C9:D9"/>
  </mergeCells>
  <conditionalFormatting sqref="J7 J4 J10">
    <cfRule type="cellIs" dxfId="13" priority="10" operator="equal">
      <formula>0</formula>
    </cfRule>
  </conditionalFormatting>
  <conditionalFormatting sqref="J4 J7 J10">
    <cfRule type="cellIs" dxfId="12" priority="8" operator="greaterThan">
      <formula>0</formula>
    </cfRule>
    <cfRule type="cellIs" dxfId="11" priority="9" operator="lessThan">
      <formula>0</formula>
    </cfRule>
  </conditionalFormatting>
  <conditionalFormatting sqref="L9:L10">
    <cfRule type="containsText" dxfId="10" priority="4" operator="containsText" text="‌ ✓">
      <formula>NOT(ISERROR(SEARCH("‌ ✓",L9)))</formula>
    </cfRule>
  </conditionalFormatting>
  <conditionalFormatting sqref="F25:I26">
    <cfRule type="cellIs" dxfId="9" priority="3" operator="lessThan">
      <formula>0</formula>
    </cfRule>
  </conditionalFormatting>
  <conditionalFormatting sqref="F30:I31">
    <cfRule type="cellIs" dxfId="8" priority="2" operator="lessThan">
      <formula>0</formula>
    </cfRule>
  </conditionalFormatting>
  <conditionalFormatting sqref="F35:I35">
    <cfRule type="cellIs" dxfId="7" priority="1" operator="lessThan">
      <formula>0</formula>
    </cfRule>
  </conditionalFormatting>
  <dataValidations count="2">
    <dataValidation type="list" allowBlank="1" showInputMessage="1" showErrorMessage="1" sqref="G15:I15" xr:uid="{76B370BA-BFAA-496C-B963-41123AE58D19}">
      <formula1>G$39:G$41</formula1>
    </dataValidation>
    <dataValidation type="list" allowBlank="1" showInputMessage="1" showErrorMessage="1" sqref="F15" xr:uid="{8CC84BED-62CF-4312-B126-D202B078EDD7}">
      <formula1>$F$39:$F$41</formula1>
    </dataValidation>
  </dataValidation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F831-8885-44D9-AC2D-D04C874AD8DF}">
  <sheetPr codeName="Sheet6">
    <tabColor theme="9" tint="-0.249977111117893"/>
  </sheetPr>
  <dimension ref="B2:Q41"/>
  <sheetViews>
    <sheetView rightToLeft="1" zoomScale="78" zoomScaleNormal="41" workbookViewId="0">
      <selection activeCell="B15" sqref="B15"/>
    </sheetView>
  </sheetViews>
  <sheetFormatPr defaultColWidth="9" defaultRowHeight="27.75"/>
  <cols>
    <col min="1" max="1" width="9" style="16" customWidth="1"/>
    <col min="2" max="2" width="4.625" style="16" bestFit="1" customWidth="1"/>
    <col min="3" max="3" width="7" style="16" bestFit="1" customWidth="1"/>
    <col min="4" max="4" width="13.625" style="16" bestFit="1" customWidth="1"/>
    <col min="5" max="5" width="8.375" style="16" bestFit="1" customWidth="1"/>
    <col min="6" max="9" width="18.375" style="16" bestFit="1" customWidth="1"/>
    <col min="10" max="10" width="20.375" style="16" bestFit="1" customWidth="1"/>
    <col min="11" max="11" width="14.375" style="16" bestFit="1" customWidth="1"/>
    <col min="12" max="12" width="26.125" style="16" bestFit="1" customWidth="1"/>
    <col min="13" max="13" width="9" style="16"/>
    <col min="14" max="15" width="13.125" style="16" bestFit="1" customWidth="1"/>
    <col min="16" max="16" width="22.5" style="16" bestFit="1" customWidth="1"/>
    <col min="17" max="17" width="10.375" style="16" bestFit="1" customWidth="1"/>
    <col min="18" max="16384" width="9" style="16"/>
  </cols>
  <sheetData>
    <row r="2" spans="2:17" ht="28.5" thickBot="1">
      <c r="B2" s="127" t="s">
        <v>13</v>
      </c>
      <c r="C2" s="127"/>
      <c r="D2" s="128"/>
      <c r="E2" s="13">
        <v>8</v>
      </c>
      <c r="F2" s="13">
        <v>9</v>
      </c>
      <c r="G2" s="13">
        <v>10</v>
      </c>
      <c r="H2" s="13">
        <v>11</v>
      </c>
      <c r="I2" s="14">
        <v>12</v>
      </c>
      <c r="J2" s="15" t="s">
        <v>47</v>
      </c>
      <c r="L2" s="17"/>
      <c r="M2" s="17"/>
    </row>
    <row r="3" spans="2:17" ht="27.75" customHeight="1">
      <c r="B3" s="129">
        <v>1</v>
      </c>
      <c r="C3" s="130" t="s">
        <v>14</v>
      </c>
      <c r="D3" s="131"/>
      <c r="E3" s="18"/>
      <c r="F3" s="19">
        <f>'DATA 2'!G8</f>
        <v>425.75712366890201</v>
      </c>
      <c r="G3" s="19">
        <f>'DATA 2'!H8</f>
        <v>567.67616489186946</v>
      </c>
      <c r="H3" s="19">
        <f>'DATA 2'!I8</f>
        <v>851.51424733780402</v>
      </c>
      <c r="I3" s="19">
        <f>'DATA 2'!J8</f>
        <v>993.43328856077142</v>
      </c>
      <c r="J3" s="100"/>
      <c r="L3" s="20"/>
    </row>
    <row r="4" spans="2:17" ht="27.75" customHeight="1">
      <c r="B4" s="129"/>
      <c r="C4" s="21" t="s">
        <v>15</v>
      </c>
      <c r="D4" s="21">
        <f>SUM(F4:I4)</f>
        <v>2788</v>
      </c>
      <c r="E4" s="22"/>
      <c r="F4" s="23">
        <v>669</v>
      </c>
      <c r="G4" s="23">
        <v>692</v>
      </c>
      <c r="H4" s="23">
        <v>715</v>
      </c>
      <c r="I4" s="23">
        <v>712</v>
      </c>
      <c r="J4" s="101">
        <f>SUM(F4:I4)-SUM(F3:I3)</f>
        <v>-50.380824459346968</v>
      </c>
    </row>
    <row r="5" spans="2:17" ht="27.75" customHeight="1">
      <c r="B5" s="129"/>
      <c r="C5" s="25" t="s">
        <v>16</v>
      </c>
      <c r="D5" s="26">
        <f>DATA!E9</f>
        <v>50</v>
      </c>
      <c r="E5" s="27"/>
      <c r="F5" s="28">
        <f>D5-F3+F4</f>
        <v>293.24287633109799</v>
      </c>
      <c r="G5" s="29">
        <f>F5-G3+G4</f>
        <v>417.56671143922853</v>
      </c>
      <c r="H5" s="29">
        <f>G5-H3+H4</f>
        <v>281.0524641014245</v>
      </c>
      <c r="I5" s="30">
        <f>H5-I3+I4</f>
        <v>-0.38082445934696807</v>
      </c>
      <c r="J5" s="31"/>
    </row>
    <row r="6" spans="2:17" ht="27.75" customHeight="1" thickBot="1">
      <c r="B6" s="132">
        <v>2</v>
      </c>
      <c r="C6" s="133" t="s">
        <v>14</v>
      </c>
      <c r="D6" s="134"/>
      <c r="E6" s="32"/>
      <c r="F6" s="33">
        <f>'DATA 2'!G9</f>
        <v>632.84891579537327</v>
      </c>
      <c r="G6" s="33">
        <f>'DATA 2'!H9</f>
        <v>843.79855439383107</v>
      </c>
      <c r="H6" s="33">
        <f>'DATA 2'!I9</f>
        <v>1265.6978315907465</v>
      </c>
      <c r="I6" s="33">
        <f>'DATA 2'!J9</f>
        <v>1476.6474701892041</v>
      </c>
      <c r="J6" s="101"/>
      <c r="N6" s="34" t="s">
        <v>9</v>
      </c>
      <c r="O6" s="34" t="s">
        <v>8</v>
      </c>
      <c r="P6" s="35" t="s">
        <v>48</v>
      </c>
    </row>
    <row r="7" spans="2:17" ht="27.75" customHeight="1" thickBot="1">
      <c r="B7" s="132"/>
      <c r="C7" s="36" t="s">
        <v>15</v>
      </c>
      <c r="D7" s="36">
        <f>SUM(F7:I7)</f>
        <v>4128</v>
      </c>
      <c r="E7" s="37"/>
      <c r="F7" s="24">
        <v>581</v>
      </c>
      <c r="G7" s="24">
        <v>1034</v>
      </c>
      <c r="H7" s="24">
        <v>1461</v>
      </c>
      <c r="I7" s="24">
        <v>1052</v>
      </c>
      <c r="J7" s="101">
        <f>SUM(F7:I7)-SUM(F6:I6)</f>
        <v>-90.992771969155001</v>
      </c>
      <c r="L7" s="38" t="s">
        <v>17</v>
      </c>
      <c r="N7" s="72">
        <f>DATA!M9</f>
        <v>0.97499999999999998</v>
      </c>
      <c r="O7" s="72">
        <f>DATA!M8</f>
        <v>0.95</v>
      </c>
      <c r="P7" s="81">
        <f>DATA!G6/4</f>
        <v>8736</v>
      </c>
    </row>
    <row r="8" spans="2:17" ht="27.75" customHeight="1" thickBot="1">
      <c r="B8" s="132"/>
      <c r="C8" s="39" t="s">
        <v>16</v>
      </c>
      <c r="D8" s="102">
        <f>DATA!E10</f>
        <v>90</v>
      </c>
      <c r="E8" s="40"/>
      <c r="F8" s="41">
        <f>D8-F6+F7</f>
        <v>38.151084204626727</v>
      </c>
      <c r="G8" s="42">
        <f>F8-G6+G7</f>
        <v>228.35252981079566</v>
      </c>
      <c r="H8" s="42">
        <f>G8-H6+H7</f>
        <v>423.65469822004911</v>
      </c>
      <c r="I8" s="43">
        <f>H8-I6+I7</f>
        <v>-0.99277196915500099</v>
      </c>
      <c r="J8" s="31"/>
      <c r="L8" s="104">
        <f>J17+J18+J20</f>
        <v>29988513.305181257</v>
      </c>
    </row>
    <row r="9" spans="2:17" ht="27.75" customHeight="1">
      <c r="B9" s="129">
        <v>3</v>
      </c>
      <c r="C9" s="135" t="s">
        <v>14</v>
      </c>
      <c r="D9" s="136"/>
      <c r="E9" s="44"/>
      <c r="F9" s="45">
        <f>'DATA 2'!G10</f>
        <v>618.84396053572459</v>
      </c>
      <c r="G9" s="45">
        <f>'DATA 2'!H10</f>
        <v>825.12528071429961</v>
      </c>
      <c r="H9" s="45">
        <f>'DATA 2'!I10</f>
        <v>1237.6879210714492</v>
      </c>
      <c r="I9" s="45">
        <f>'DATA 2'!J10</f>
        <v>1443.969241250024</v>
      </c>
      <c r="J9" s="101"/>
      <c r="L9" s="124" t="str">
        <f>IF(MIN(F12:I12,F25:I25,F30:I30,F35:I35)=0,"‌ ✓","x infeasible")</f>
        <v>‌ ✓</v>
      </c>
    </row>
    <row r="10" spans="2:17" ht="27.75" customHeight="1" thickBot="1">
      <c r="B10" s="129"/>
      <c r="C10" s="21" t="s">
        <v>15</v>
      </c>
      <c r="D10" s="21">
        <f>SUM(F10:I10)</f>
        <v>4056</v>
      </c>
      <c r="E10" s="22"/>
      <c r="F10" s="23">
        <v>548</v>
      </c>
      <c r="G10" s="23">
        <v>825</v>
      </c>
      <c r="H10" s="23">
        <v>1238</v>
      </c>
      <c r="I10" s="23">
        <v>1445</v>
      </c>
      <c r="J10" s="101">
        <f>SUM(F10:I10)-SUM(F9:I9)</f>
        <v>-69.626403571497576</v>
      </c>
      <c r="L10" s="125"/>
    </row>
    <row r="11" spans="2:17" ht="28.5" customHeight="1" thickBot="1">
      <c r="B11" s="129"/>
      <c r="C11" s="25" t="s">
        <v>16</v>
      </c>
      <c r="D11" s="47">
        <f>DATA!E11</f>
        <v>70</v>
      </c>
      <c r="E11" s="48"/>
      <c r="F11" s="49">
        <f>D11-F9+F10</f>
        <v>-0.84396053572459095</v>
      </c>
      <c r="G11" s="50">
        <f>F11-G9+G10</f>
        <v>-0.96924125002419714</v>
      </c>
      <c r="H11" s="50">
        <f>G11-H9+H10</f>
        <v>-0.65716232147337905</v>
      </c>
      <c r="I11" s="51">
        <f>H11-I9+I10</f>
        <v>0.37359642850265118</v>
      </c>
      <c r="J11" s="31"/>
      <c r="N11" s="46">
        <v>3</v>
      </c>
      <c r="O11" s="46">
        <v>2</v>
      </c>
      <c r="P11" s="46">
        <v>1</v>
      </c>
      <c r="Q11" s="52" t="s">
        <v>18</v>
      </c>
    </row>
    <row r="12" spans="2:17">
      <c r="D12" s="53" t="s">
        <v>55</v>
      </c>
      <c r="E12" s="54"/>
      <c r="F12" s="55">
        <f>$P$7*$O$7*$N$7-F19-(F4*$P$17+F7*$O$17+F10*$N$17)</f>
        <v>4818.1366666666654</v>
      </c>
      <c r="G12" s="55">
        <f t="shared" ref="G12:I12" si="0">$P$7*$O$7*$N$7-G19-(G4*$P$17+G7*$O$17+G10*$N$17)</f>
        <v>3376.536666666665</v>
      </c>
      <c r="H12" s="55">
        <f t="shared" si="0"/>
        <v>1696.5699999999988</v>
      </c>
      <c r="I12" s="55">
        <f t="shared" si="0"/>
        <v>2019.9033333333318</v>
      </c>
      <c r="J12" s="109">
        <f>SUM(F12:I12)</f>
        <v>11911.14666666666</v>
      </c>
      <c r="N12" s="98">
        <f>DATA!C14</f>
        <v>-255000</v>
      </c>
      <c r="O12" s="98">
        <f>DATA!D14</f>
        <v>-255000</v>
      </c>
      <c r="P12" s="98">
        <f>DATA!E14</f>
        <v>-255000</v>
      </c>
      <c r="Q12" s="57" t="s">
        <v>19</v>
      </c>
    </row>
    <row r="13" spans="2:17">
      <c r="D13" s="58" t="s">
        <v>20</v>
      </c>
      <c r="E13" s="59"/>
      <c r="F13" s="59">
        <f>COUNTIF(F4:F10,"&gt;0")-COUNTIF(F5:F6,"&gt;0")-COUNTIF(F8:F9,"&gt;0")-IF(OR(AND(F4&gt;0,E4&gt;0),AND(F7&gt;0,E7&gt;0),AND(F10&gt;0,E10&gt;0)),1,0)</f>
        <v>3</v>
      </c>
      <c r="G13" s="59">
        <f t="shared" ref="G13:I13" si="1">COUNTIF(G4:G10,"&gt;0")-COUNTIF(G5:G6,"&gt;0")-COUNTIF(G8:G9,"&gt;0")-IF(OR(AND(G4&gt;0,F4&gt;0),AND(G7&gt;0,F7&gt;0),AND(G10&gt;0,F10&gt;0)),1,0)</f>
        <v>2</v>
      </c>
      <c r="H13" s="59">
        <f t="shared" si="1"/>
        <v>2</v>
      </c>
      <c r="I13" s="59">
        <f t="shared" si="1"/>
        <v>2</v>
      </c>
      <c r="J13" s="60"/>
      <c r="N13" s="98">
        <f>DATA!C15</f>
        <v>16000</v>
      </c>
      <c r="O13" s="98">
        <f>DATA!D15</f>
        <v>16000</v>
      </c>
      <c r="P13" s="98">
        <f>DATA!E15</f>
        <v>16000</v>
      </c>
      <c r="Q13" s="57" t="s">
        <v>21</v>
      </c>
    </row>
    <row r="14" spans="2:17">
      <c r="D14" s="58" t="s">
        <v>22</v>
      </c>
      <c r="E14" s="59"/>
      <c r="F14" s="112" t="str">
        <f>IF(AND(F4&gt;0,E4&gt;0),"1, ","")&amp;IF(AND(F7&gt;0,E7&gt;0),"2, ","")&amp;IF(AND(F10&gt;0,E10&gt;0),"3, ","")</f>
        <v/>
      </c>
      <c r="G14" s="112" t="str">
        <f t="shared" ref="G14:H14" si="2">IF(AND(G4&gt;0,F4&gt;0),"1, ","")&amp;IF(AND(G7&gt;0,F7&gt;0),"2, ","")&amp;IF(AND(G10&gt;0,F10&gt;0),"3, ","")</f>
        <v xml:space="preserve">1, 2, 3, </v>
      </c>
      <c r="H14" s="112" t="str">
        <f t="shared" si="2"/>
        <v xml:space="preserve">1, 2, 3, </v>
      </c>
      <c r="I14" s="112" t="str">
        <f>IF(AND(I4&gt;0,H4&gt;0),"1, ","")&amp;IF(AND(I7&gt;0,H7&gt;0),"2, ","")&amp;IF(AND(I10&gt;0,H10&gt;0),"3, ","")</f>
        <v xml:space="preserve">1, 2, 3, </v>
      </c>
      <c r="J14" s="60"/>
      <c r="N14" s="98">
        <f>DATA!C16</f>
        <v>230000</v>
      </c>
      <c r="O14" s="98">
        <f>DATA!D16</f>
        <v>210000</v>
      </c>
      <c r="P14" s="98">
        <f>DATA!E16</f>
        <v>250000</v>
      </c>
      <c r="Q14" s="57" t="s">
        <v>23</v>
      </c>
    </row>
    <row r="15" spans="2:17">
      <c r="D15" s="58" t="s">
        <v>24</v>
      </c>
      <c r="E15" s="59"/>
      <c r="F15" s="110" t="s">
        <v>25</v>
      </c>
      <c r="G15" s="111" t="s">
        <v>26</v>
      </c>
      <c r="H15" s="110" t="s">
        <v>27</v>
      </c>
      <c r="I15" s="110" t="s">
        <v>27</v>
      </c>
      <c r="J15" s="60"/>
      <c r="L15" s="61"/>
      <c r="N15" s="103">
        <f>DATA!C17</f>
        <v>3</v>
      </c>
      <c r="O15" s="103">
        <f>DATA!D17</f>
        <v>2.1</v>
      </c>
      <c r="P15" s="103">
        <f>DATA!E17</f>
        <v>2.4</v>
      </c>
      <c r="Q15" s="57" t="s">
        <v>28</v>
      </c>
    </row>
    <row r="16" spans="2:17" hidden="1">
      <c r="D16" s="58"/>
      <c r="E16" s="59">
        <f>IFERROR(VALUE(E15),0)</f>
        <v>0</v>
      </c>
      <c r="F16" s="59">
        <f>IFERROR(VALUE(F15),0)</f>
        <v>0</v>
      </c>
      <c r="G16" s="59">
        <f t="shared" ref="G16:I16" si="3">IFERROR(VALUE(G15),0)</f>
        <v>1</v>
      </c>
      <c r="H16" s="59">
        <f t="shared" si="3"/>
        <v>2</v>
      </c>
      <c r="I16" s="59">
        <f t="shared" si="3"/>
        <v>2</v>
      </c>
      <c r="J16" s="60"/>
      <c r="N16" s="62">
        <v>0</v>
      </c>
      <c r="O16" s="62">
        <v>0</v>
      </c>
      <c r="P16" s="62">
        <v>0</v>
      </c>
      <c r="Q16" s="57" t="s">
        <v>29</v>
      </c>
    </row>
    <row r="17" spans="4:17">
      <c r="D17" s="63" t="s">
        <v>30</v>
      </c>
      <c r="E17" s="59"/>
      <c r="F17" s="81">
        <f>IF(F5&lt;0,F5*$P$12,F5*$P$13)+IF(F8&lt;0,F8*$O$12,F8*$O$13)+IF(F11&lt;0,F11*$N$12,F11*$N$13)</f>
        <v>5517513.3051813664</v>
      </c>
      <c r="G17" s="81">
        <f>IF(G5&lt;0,G5*$P$12,G5*$P$13)+IF(G8&lt;0,G8*$O$12,G8*$O$13)+IF(G11&lt;0,G11*$N$12,G11*$N$13)</f>
        <v>10581864.378756557</v>
      </c>
      <c r="H17" s="81">
        <f>IF(H5&lt;0,H5*$P$12,H5*$P$13)+IF(H8&lt;0,H8*$O$12,H8*$O$13)+IF(H11&lt;0,H11*$N$12,H11*$N$13)</f>
        <v>11442890.989119289</v>
      </c>
      <c r="I17" s="107">
        <f>IF(I5&lt;0,I5*$P$12,I5*$P$13)+IF(I8&lt;0,I8*$O$12,I8*$O$13)+IF(I11&lt;0,I11*$N$12,I11*$N$13)</f>
        <v>356244.63212404447</v>
      </c>
      <c r="J17" s="108">
        <f>SUM(F17:I17)</f>
        <v>27898513.305181257</v>
      </c>
      <c r="N17" s="97">
        <f>DATA!D11/60</f>
        <v>2.0833333333333335</v>
      </c>
      <c r="O17" s="97">
        <f>DATA!D10/60</f>
        <v>1.8333333333333333</v>
      </c>
      <c r="P17" s="97">
        <f>DATA!D9/60</f>
        <v>1.5833333333333333</v>
      </c>
      <c r="Q17" s="57" t="s">
        <v>11</v>
      </c>
    </row>
    <row r="18" spans="4:17">
      <c r="D18" s="64" t="s">
        <v>31</v>
      </c>
      <c r="E18" s="59"/>
      <c r="F18" s="81">
        <f>IF(F4&gt;0,$P$14,0)+IF(F7&gt;0,$O$14,0)+IF(F10&gt;0,$N$14,0)-IFERROR(INDEX($N$11:$P$14,4,MATCH(F16,$N$11:$P$11,0)),0)</f>
        <v>690000</v>
      </c>
      <c r="G18" s="81">
        <f t="shared" ref="G18:I18" si="4">IF(G4&gt;0,$P$14,0)+IF(G7&gt;0,$O$14,0)+IF(G10&gt;0,$N$14,0)-IFERROR(INDEX($N$11:$P$14,4,MATCH(G16,$N$11:$P$11,0)),0)</f>
        <v>440000</v>
      </c>
      <c r="H18" s="81">
        <f t="shared" si="4"/>
        <v>480000</v>
      </c>
      <c r="I18" s="81">
        <f t="shared" si="4"/>
        <v>480000</v>
      </c>
      <c r="J18" s="108">
        <f>SUM(F18:I18)</f>
        <v>2090000</v>
      </c>
      <c r="N18" s="99"/>
      <c r="O18" s="99"/>
      <c r="P18" s="99"/>
    </row>
    <row r="19" spans="4:17">
      <c r="D19" s="64" t="s">
        <v>32</v>
      </c>
      <c r="E19" s="59"/>
      <c r="F19" s="113">
        <f>IF(F4&gt;0,$P$15,0)+IF(F7&gt;0,$O$15,0)+IF(F10&gt;0,$N$15,0)-IFERROR(INDEX($N$11:$P$15,5,MATCH(F16,$N$11:$P$11,0)),0)</f>
        <v>7.5</v>
      </c>
      <c r="G19" s="113">
        <f t="shared" ref="G19:I19" si="5">IF(G4&gt;0,$P$15,0)+IF(G7&gt;0,$O$15,0)+IF(G10&gt;0,$N$15,0)-IFERROR(INDEX($N$11:$P$15,5,MATCH(G16,$N$11:$P$11,0)),0)</f>
        <v>5.0999999999999996</v>
      </c>
      <c r="H19" s="113">
        <f t="shared" si="5"/>
        <v>5.4</v>
      </c>
      <c r="I19" s="113">
        <f t="shared" si="5"/>
        <v>5.4</v>
      </c>
      <c r="J19" s="65">
        <f t="shared" ref="J19:J20" si="6">SUM(F19:I19)</f>
        <v>23.4</v>
      </c>
    </row>
    <row r="20" spans="4:17" ht="28.5" hidden="1" thickBot="1">
      <c r="D20" s="66" t="s">
        <v>29</v>
      </c>
      <c r="E20" s="67"/>
      <c r="F20" s="68">
        <f>F4*$P$16+F7*$O$16+F10*$N$16</f>
        <v>0</v>
      </c>
      <c r="G20" s="68">
        <f>G4*$P$16+G7*$O$16+G10*$N$16</f>
        <v>0</v>
      </c>
      <c r="H20" s="68">
        <f>H4*$P$16+H7*$O$16+H10*$N$16</f>
        <v>0</v>
      </c>
      <c r="I20" s="69">
        <f>I4*$P$16+I7*$O$16+I10*$N$16</f>
        <v>0</v>
      </c>
      <c r="J20" s="70">
        <f t="shared" si="6"/>
        <v>0</v>
      </c>
    </row>
    <row r="22" spans="4:17">
      <c r="F22" s="16">
        <f t="shared" ref="F22:I22" si="7">F2</f>
        <v>9</v>
      </c>
      <c r="G22" s="16">
        <f t="shared" si="7"/>
        <v>10</v>
      </c>
      <c r="H22" s="16">
        <f t="shared" si="7"/>
        <v>11</v>
      </c>
      <c r="I22" s="16">
        <f t="shared" si="7"/>
        <v>12</v>
      </c>
    </row>
    <row r="23" spans="4:17">
      <c r="D23" s="126">
        <v>1</v>
      </c>
      <c r="E23" s="52" t="s">
        <v>52</v>
      </c>
      <c r="F23" s="71">
        <f>MAX(0,IF(VLOOKUP($E23,[1]DATA!$G$8:$I$10,3,FALSE)=1,MIN(VLOOKUP($E23,[1]DATA!$G$8:$J$10,4,TRUE),VLOOKUP($E23,[1]DATA!$G$8:$J$10,2,TRUE)*F$4),MIN(VLOOKUP($E23,[1]DATA!$G$8:$J$10,4,TRUE),F$4-F24)))</f>
        <v>234.14999999999998</v>
      </c>
      <c r="G23" s="71">
        <f>MAX(0,IF(VLOOKUP($E23,[1]DATA!$G$8:$I$10,3,FALSE)=1,MIN(VLOOKUP($E23,[1]DATA!$G$8:$J$10,4,TRUE),VLOOKUP($E23,[1]DATA!$G$8:$J$10,2,TRUE)*G$4),MIN(VLOOKUP($E23,[1]DATA!$G$8:$J$10,4,TRUE),G$4-G24)))</f>
        <v>242.2</v>
      </c>
      <c r="H23" s="71">
        <f>MAX(0,IF(VLOOKUP($E23,[1]DATA!$G$8:$I$10,3,FALSE)=1,MIN(VLOOKUP($E23,[1]DATA!$G$8:$J$10,4,TRUE),VLOOKUP($E23,[1]DATA!$G$8:$J$10,2,TRUE)*H$4),MIN(VLOOKUP($E23,[1]DATA!$G$8:$J$10,4,TRUE),H$4-H24)))</f>
        <v>250.25</v>
      </c>
      <c r="I23" s="71">
        <f>MAX(0,IF(VLOOKUP($E23,[1]DATA!$G$8:$I$10,3,FALSE)=1,MIN(VLOOKUP($E23,[1]DATA!$G$8:$J$10,4,TRUE),VLOOKUP($E23,[1]DATA!$G$8:$J$10,2,TRUE)*I$4),MIN(VLOOKUP($E23,[1]DATA!$G$8:$J$10,4,TRUE),I$4-I24)))</f>
        <v>249.2</v>
      </c>
    </row>
    <row r="24" spans="4:17">
      <c r="D24" s="126"/>
      <c r="E24" s="52" t="s">
        <v>53</v>
      </c>
      <c r="F24" s="71">
        <f>MAX(0,IF(VLOOKUP($E24,[1]DATA!$G$8:$I$10,3,FALSE)=1,MIN(VLOOKUP($E24,[1]DATA!$G$8:$J$10,4,TRUE),VLOOKUP($E24,[1]DATA!$G$8:$J$10,2,TRUE)*F$4),MIN(VLOOKUP($E24,[1]DATA!$G$8:$J$10,4,TRUE),F$4-F25)))</f>
        <v>434.85</v>
      </c>
      <c r="G24" s="71">
        <f>MAX(0,IF(VLOOKUP($E24,[1]DATA!$G$8:$I$10,3,FALSE)=1,MIN(VLOOKUP($E24,[1]DATA!$G$8:$J$10,4,TRUE),VLOOKUP($E24,[1]DATA!$G$8:$J$10,2,TRUE)*G$4),MIN(VLOOKUP($E24,[1]DATA!$G$8:$J$10,4,TRUE),G$4-G25)))</f>
        <v>449.8</v>
      </c>
      <c r="H24" s="71">
        <f>MAX(0,IF(VLOOKUP($E24,[1]DATA!$G$8:$I$10,3,FALSE)=1,MIN(VLOOKUP($E24,[1]DATA!$G$8:$J$10,4,TRUE),VLOOKUP($E24,[1]DATA!$G$8:$J$10,2,TRUE)*H$4),MIN(VLOOKUP($E24,[1]DATA!$G$8:$J$10,4,TRUE),H$4-H25)))</f>
        <v>464.75</v>
      </c>
      <c r="I24" s="71">
        <f>MAX(0,IF(VLOOKUP($E24,[1]DATA!$G$8:$I$10,3,FALSE)=1,MIN(VLOOKUP($E24,[1]DATA!$G$8:$J$10,4,TRUE),VLOOKUP($E24,[1]DATA!$G$8:$J$10,2,TRUE)*I$4),MIN(VLOOKUP($E24,[1]DATA!$G$8:$J$10,4,TRUE),I$4-I25)))</f>
        <v>462.8</v>
      </c>
    </row>
    <row r="25" spans="4:17">
      <c r="E25" s="119" t="s">
        <v>54</v>
      </c>
      <c r="F25" s="61">
        <f>SUM(F23:F24)-F4</f>
        <v>0</v>
      </c>
      <c r="G25" s="61">
        <f>SUM(G23:G24)-G4</f>
        <v>0</v>
      </c>
      <c r="H25" s="61">
        <f>SUM(H23:H24)-H4</f>
        <v>0</v>
      </c>
      <c r="I25" s="61">
        <f>SUM(I23:I24)-I4</f>
        <v>0</v>
      </c>
    </row>
    <row r="26" spans="4:17">
      <c r="E26" s="119"/>
      <c r="F26" s="61"/>
      <c r="G26" s="61"/>
      <c r="H26" s="61"/>
      <c r="I26" s="61"/>
    </row>
    <row r="27" spans="4:17">
      <c r="F27" s="61">
        <f t="shared" ref="F27:I27" si="8">F2</f>
        <v>9</v>
      </c>
      <c r="G27" s="61">
        <f t="shared" si="8"/>
        <v>10</v>
      </c>
      <c r="H27" s="61">
        <f t="shared" si="8"/>
        <v>11</v>
      </c>
      <c r="I27" s="61">
        <f t="shared" si="8"/>
        <v>12</v>
      </c>
    </row>
    <row r="28" spans="4:17">
      <c r="D28" s="126">
        <v>2</v>
      </c>
      <c r="E28" s="52" t="s">
        <v>52</v>
      </c>
      <c r="F28" s="71">
        <f>MAX(0,IF(VLOOKUP($E28,[1]DATA!$G$8:$I$10,3,FALSE)=1,MIN(VLOOKUP($E28,[1]DATA!$G$8:$J$10,4,TRUE)-F23,VLOOKUP($E28,[1]DATA!$G$8:$J$10,2,TRUE)*F$7),MIN(VLOOKUP($E28,[1]DATA!$G$8:$J$10,4,TRUE)-F23,F$7-F29)))</f>
        <v>203.34999999999997</v>
      </c>
      <c r="G28" s="71">
        <f>MAX(0,IF(VLOOKUP($E28,[1]DATA!$G$8:$I$10,3,FALSE)=1,MIN(VLOOKUP($E28,[1]DATA!$G$8:$J$10,4,TRUE)-G23,VLOOKUP($E28,[1]DATA!$G$8:$J$10,2,TRUE)*G$7),MIN(VLOOKUP($E28,[1]DATA!$G$8:$J$10,4,TRUE)-G23,G$7-G29)))</f>
        <v>361.9</v>
      </c>
      <c r="H28" s="71">
        <f>MAX(0,IF(VLOOKUP($E28,[1]DATA!$G$8:$I$10,3,FALSE)=1,MIN(VLOOKUP($E28,[1]DATA!$G$8:$J$10,4,TRUE)-H23,VLOOKUP($E28,[1]DATA!$G$8:$J$10,2,TRUE)*H$7),MIN(VLOOKUP($E28,[1]DATA!$G$8:$J$10,4,TRUE)-H23,H$7-H29)))</f>
        <v>511.35</v>
      </c>
      <c r="I28" s="71">
        <f>MAX(0,IF(VLOOKUP($E28,[1]DATA!$G$8:$I$10,3,FALSE)=1,MIN(VLOOKUP($E28,[1]DATA!$G$8:$J$10,4,TRUE)-I23,VLOOKUP($E28,[1]DATA!$G$8:$J$10,2,TRUE)*I$7),MIN(VLOOKUP($E28,[1]DATA!$G$8:$J$10,4,TRUE)-I23,I$7-I29)))</f>
        <v>368.19999999999993</v>
      </c>
    </row>
    <row r="29" spans="4:17">
      <c r="D29" s="126"/>
      <c r="E29" s="52" t="s">
        <v>53</v>
      </c>
      <c r="F29" s="71">
        <f>MAX(0,IF(VLOOKUP($E29,[1]DATA!$G$8:$I$10,3,FALSE)=1,MIN(VLOOKUP($E29,[1]DATA!$G$8:$J$10,4,TRUE)-F24,VLOOKUP($E29,[1]DATA!$G$8:$J$10,2,TRUE)*F$7),MIN(VLOOKUP($E29,[1]DATA!$G$8:$J$10,4,TRUE)-F24,F$7-F30)))</f>
        <v>377.65000000000003</v>
      </c>
      <c r="G29" s="71">
        <f>MAX(0,IF(VLOOKUP($E29,[1]DATA!$G$8:$I$10,3,FALSE)=1,MIN(VLOOKUP($E29,[1]DATA!$G$8:$J$10,4,TRUE)-G24,VLOOKUP($E29,[1]DATA!$G$8:$J$10,2,TRUE)*G$7),MIN(VLOOKUP($E29,[1]DATA!$G$8:$J$10,4,TRUE)-G24,G$7-G30)))</f>
        <v>672.1</v>
      </c>
      <c r="H29" s="71">
        <f>MAX(0,IF(VLOOKUP($E29,[1]DATA!$G$8:$I$10,3,FALSE)=1,MIN(VLOOKUP($E29,[1]DATA!$G$8:$J$10,4,TRUE)-H24,VLOOKUP($E29,[1]DATA!$G$8:$J$10,2,TRUE)*H$7),MIN(VLOOKUP($E29,[1]DATA!$G$8:$J$10,4,TRUE)-H24,H$7-H30)))</f>
        <v>949.65</v>
      </c>
      <c r="I29" s="71">
        <f>MAX(0,IF(VLOOKUP($E29,[1]DATA!$G$8:$I$10,3,FALSE)=1,MIN(VLOOKUP($E29,[1]DATA!$G$8:$J$10,4,TRUE)-I24,VLOOKUP($E29,[1]DATA!$G$8:$J$10,2,TRUE)*I$7),MIN(VLOOKUP($E29,[1]DATA!$G$8:$J$10,4,TRUE)-I24,I$7-I30)))</f>
        <v>683.80000000000007</v>
      </c>
    </row>
    <row r="30" spans="4:17">
      <c r="E30" s="119" t="s">
        <v>54</v>
      </c>
      <c r="F30" s="61">
        <f>SUM(F28:F29)-F7</f>
        <v>0</v>
      </c>
      <c r="G30" s="61">
        <f>SUM(G28:G29)-G7</f>
        <v>0</v>
      </c>
      <c r="H30" s="61">
        <f>SUM(H28:H29)-H7</f>
        <v>0</v>
      </c>
      <c r="I30" s="61">
        <f>SUM(I28:I29)-I7</f>
        <v>0</v>
      </c>
    </row>
    <row r="31" spans="4:17">
      <c r="E31" s="119"/>
      <c r="F31" s="61"/>
      <c r="G31" s="61"/>
      <c r="H31" s="61"/>
      <c r="I31" s="61"/>
    </row>
    <row r="32" spans="4:17">
      <c r="F32" s="61">
        <f t="shared" ref="F32:I32" si="9">F2</f>
        <v>9</v>
      </c>
      <c r="G32" s="61">
        <f t="shared" si="9"/>
        <v>10</v>
      </c>
      <c r="H32" s="61">
        <f t="shared" si="9"/>
        <v>11</v>
      </c>
      <c r="I32" s="61">
        <f t="shared" si="9"/>
        <v>12</v>
      </c>
    </row>
    <row r="33" spans="4:10">
      <c r="D33" s="126">
        <v>3</v>
      </c>
      <c r="E33" s="52" t="s">
        <v>52</v>
      </c>
      <c r="F33" s="71">
        <f>MAX(0,IF(VLOOKUP($E33,[1]DATA!$G$8:$I$10,3,FALSE)=1,MIN(VLOOKUP($E33,[1]DATA!$G$8:$J$10,4,TRUE)-F28-F23,VLOOKUP($E33,[1]DATA!$G$8:$J$10,2,TRUE)*F10),MIN(VLOOKUP($E33,[1]DATA!$G$8:$J$10,4,TRUE)-F28-F23,F10-F34)))</f>
        <v>0</v>
      </c>
      <c r="G33" s="71">
        <f>MAX(0,IF(VLOOKUP($E33,[1]DATA!$G$8:$I$10,3,FALSE)=1,MIN(VLOOKUP($E33,[1]DATA!$G$8:$J$10,4,TRUE)-G28-G23,VLOOKUP($E33,[1]DATA!$G$8:$J$10,2,TRUE)*G10),MIN(VLOOKUP($E33,[1]DATA!$G$8:$J$10,4,TRUE)-G28-G23,G10-G34)))</f>
        <v>516.90000000000009</v>
      </c>
      <c r="H33" s="71">
        <f>MAX(0,IF(VLOOKUP($E33,[1]DATA!$G$8:$I$10,3,FALSE)=1,MIN(VLOOKUP($E33,[1]DATA!$G$8:$J$10,4,TRUE)-H28-H23,VLOOKUP($E33,[1]DATA!$G$8:$J$10,2,TRUE)*H10),MIN(VLOOKUP($E33,[1]DATA!$G$8:$J$10,4,TRUE)-H28-H23,H10-H34)))</f>
        <v>1222.4000000000001</v>
      </c>
      <c r="I33" s="71">
        <f>MAX(0,IF(VLOOKUP($E33,[1]DATA!$G$8:$I$10,3,FALSE)=1,MIN(VLOOKUP($E33,[1]DATA!$G$8:$J$10,4,TRUE)-I28-I23,VLOOKUP($E33,[1]DATA!$G$8:$J$10,2,TRUE)*I10),MIN(VLOOKUP($E33,[1]DATA!$G$8:$J$10,4,TRUE)-I28-I23,I10-I34)))</f>
        <v>1161.6000000000001</v>
      </c>
    </row>
    <row r="34" spans="4:10">
      <c r="D34" s="126"/>
      <c r="E34" s="52" t="s">
        <v>53</v>
      </c>
      <c r="F34" s="71">
        <f>MAX(0,IF(VLOOKUP($E34,[1]DATA!$G$8:$I$10,3,FALSE)=1,MIN(VLOOKUP($E34,[1]DATA!$G$8:$J$10,4,TRUE)-F29-F24,VLOOKUP($E34,[1]DATA!$G$8:$J$10,2,TRUE)*F12),MIN(VLOOKUP($E34,[1]DATA!$G$8:$J$10,4,TRUE)-F29-F24,F10-F33)))</f>
        <v>617.49999999999989</v>
      </c>
      <c r="G34" s="71">
        <f>MAX(0,IF(VLOOKUP($E34,[1]DATA!$G$8:$I$10,3,FALSE)=1,MIN(VLOOKUP($E34,[1]DATA!$G$8:$J$10,4,TRUE)-G29-G24,VLOOKUP($E34,[1]DATA!$G$8:$J$10,2,TRUE)*G12),MIN(VLOOKUP($E34,[1]DATA!$G$8:$J$10,4,TRUE)-G29-G24,G10-G33)))</f>
        <v>308.09999999999997</v>
      </c>
      <c r="H34" s="71">
        <f>MAX(0,IF(VLOOKUP($E34,[1]DATA!$G$8:$I$10,3,FALSE)=1,MIN(VLOOKUP($E34,[1]DATA!$G$8:$J$10,4,TRUE)-H29-H24,VLOOKUP($E34,[1]DATA!$G$8:$J$10,2,TRUE)*H12),MIN(VLOOKUP($E34,[1]DATA!$G$8:$J$10,4,TRUE)-H29-H24,H10-H33)))</f>
        <v>15.600000000000023</v>
      </c>
      <c r="I34" s="71">
        <f>MAX(0,IF(VLOOKUP($E34,[1]DATA!$G$8:$I$10,3,FALSE)=1,MIN(VLOOKUP($E34,[1]DATA!$G$8:$J$10,4,TRUE)-I29-I24,VLOOKUP($E34,[1]DATA!$G$8:$J$10,2,TRUE)*I12),MIN(VLOOKUP($E34,[1]DATA!$G$8:$J$10,4,TRUE)-I29-I24,I10-I33)))</f>
        <v>283.39999999999992</v>
      </c>
    </row>
    <row r="35" spans="4:10">
      <c r="E35" s="119" t="s">
        <v>54</v>
      </c>
      <c r="F35" s="61">
        <f>SUM(F33:F34)-F10</f>
        <v>69.499999999999886</v>
      </c>
      <c r="G35" s="61">
        <f>SUM(G33:G34)-G10</f>
        <v>0</v>
      </c>
      <c r="H35" s="61">
        <f>SUM(H33:H34)-H10</f>
        <v>0</v>
      </c>
      <c r="I35" s="61">
        <f>SUM(I33:I34)-I10</f>
        <v>0</v>
      </c>
    </row>
    <row r="39" spans="4:10" hidden="1">
      <c r="D39" s="58" t="s">
        <v>22</v>
      </c>
      <c r="E39" s="59"/>
      <c r="F39" s="59" t="str">
        <f>IF(AND(F4&gt;0,E4&gt;0),"1 ","")</f>
        <v/>
      </c>
      <c r="G39" s="59" t="str">
        <f>IF(AND(G4&gt;0,F4&gt;0),"1 ","")</f>
        <v xml:space="preserve">1 </v>
      </c>
      <c r="H39" s="59" t="str">
        <f>IF(AND(H4&gt;0,G4&gt;0),"1 ","")</f>
        <v xml:space="preserve">1 </v>
      </c>
      <c r="I39" s="59" t="str">
        <f>IF(AND(I4&gt;0,H4&gt;0),"1 ","")</f>
        <v xml:space="preserve">1 </v>
      </c>
      <c r="J39" s="60"/>
    </row>
    <row r="40" spans="4:10" hidden="1">
      <c r="D40" s="58" t="s">
        <v>22</v>
      </c>
      <c r="E40" s="59"/>
      <c r="F40" s="59" t="str">
        <f>IF(AND(F7&gt;0,E7&gt;0),"2 ","")</f>
        <v/>
      </c>
      <c r="G40" s="59" t="str">
        <f>IF(AND(G7&gt;0,F7&gt;0),"2 ","")</f>
        <v xml:space="preserve">2 </v>
      </c>
      <c r="H40" s="59" t="str">
        <f>IF(AND(H7&gt;0,G7&gt;0),"2 ","")</f>
        <v xml:space="preserve">2 </v>
      </c>
      <c r="I40" s="59" t="str">
        <f>IF(AND(I7&gt;0,H7&gt;0),"2 ","")</f>
        <v xml:space="preserve">2 </v>
      </c>
      <c r="J40" s="60"/>
    </row>
    <row r="41" spans="4:10" hidden="1">
      <c r="D41" s="58" t="s">
        <v>22</v>
      </c>
      <c r="E41" s="59"/>
      <c r="F41" s="59" t="str">
        <f>IF(AND(F10&gt;0,E10&gt;0),"3 ","")</f>
        <v/>
      </c>
      <c r="G41" s="59" t="str">
        <f>IF(AND(G10&gt;0,F10&gt;0),"3 ","")</f>
        <v xml:space="preserve">3 </v>
      </c>
      <c r="H41" s="59" t="str">
        <f>IF(AND(H10&gt;0,G10&gt;0),"3 ","")</f>
        <v xml:space="preserve">3 </v>
      </c>
      <c r="I41" s="59" t="str">
        <f>IF(AND(I10&gt;0,H10&gt;0),"3 ","")</f>
        <v xml:space="preserve">3 </v>
      </c>
      <c r="J41" s="60"/>
    </row>
  </sheetData>
  <sheetProtection algorithmName="SHA-512" hashValue="UlHmnRR7U/uqoUNb67tcvfpI2ETAV4lnFKXhTnOLUYp0Ge2XLw8+hotfF0tGSxSO6s984YGumSQNwCl7LhY7ug==" saltValue="GlFwbD1l2WmEmKo5fD4ixw==" spinCount="100000" sheet="1" objects="1" scenarios="1"/>
  <scenarios current="0">
    <scenario name="2"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 name="33" count="12" user="Ali Jooyafar" comment="Created by Ali Jooyafar on 4/24/2021">
      <inputCells r="F4" val="180" numFmtId="1"/>
      <inputCells r="G4" val="180" numFmtId="1"/>
      <inputCells r="H4" val="0" numFmtId="1"/>
      <inputCells r="I4" val="0" numFmtId="1"/>
      <inputCells r="F7" val="0" numFmtId="1"/>
      <inputCells r="G7" val="0" numFmtId="1"/>
      <inputCells r="H7" val="36" numFmtId="1"/>
      <inputCells r="I7" val="180" numFmtId="1"/>
      <inputCells r="F10" val="0" numFmtId="1"/>
      <inputCells r="G10" val="0" numFmtId="1"/>
      <inputCells r="H10" val="144" numFmtId="1"/>
      <inputCells r="I10" val="0" numFmtId="1"/>
    </scenario>
  </scenarios>
  <mergeCells count="11">
    <mergeCell ref="L9:L10"/>
    <mergeCell ref="D23:D24"/>
    <mergeCell ref="D28:D29"/>
    <mergeCell ref="D33:D34"/>
    <mergeCell ref="B2:D2"/>
    <mergeCell ref="B3:B5"/>
    <mergeCell ref="C3:D3"/>
    <mergeCell ref="B6:B8"/>
    <mergeCell ref="C6:D6"/>
    <mergeCell ref="B9:B11"/>
    <mergeCell ref="C9:D9"/>
  </mergeCells>
  <conditionalFormatting sqref="J7 J4 J10">
    <cfRule type="cellIs" dxfId="6" priority="10" operator="equal">
      <formula>0</formula>
    </cfRule>
  </conditionalFormatting>
  <conditionalFormatting sqref="J4 J7 J10">
    <cfRule type="cellIs" dxfId="5" priority="8" operator="greaterThan">
      <formula>0</formula>
    </cfRule>
    <cfRule type="cellIs" dxfId="4" priority="9" operator="lessThan">
      <formula>0</formula>
    </cfRule>
  </conditionalFormatting>
  <conditionalFormatting sqref="L9:L10">
    <cfRule type="containsText" dxfId="3" priority="4" operator="containsText" text="‌ ✓">
      <formula>NOT(ISERROR(SEARCH("‌ ✓",L9)))</formula>
    </cfRule>
  </conditionalFormatting>
  <conditionalFormatting sqref="F25:I26">
    <cfRule type="cellIs" dxfId="2" priority="3" operator="lessThan">
      <formula>0</formula>
    </cfRule>
  </conditionalFormatting>
  <conditionalFormatting sqref="F30:I31">
    <cfRule type="cellIs" dxfId="1" priority="2" operator="lessThan">
      <formula>0</formula>
    </cfRule>
  </conditionalFormatting>
  <conditionalFormatting sqref="F35:I35">
    <cfRule type="cellIs" dxfId="0" priority="1" operator="lessThan">
      <formula>0</formula>
    </cfRule>
  </conditionalFormatting>
  <dataValidations count="2">
    <dataValidation type="list" allowBlank="1" showInputMessage="1" showErrorMessage="1" sqref="G15:I15" xr:uid="{165C1BD8-887E-4C6F-86B0-2DA8E44E742D}">
      <formula1>G$39:G$41</formula1>
    </dataValidation>
    <dataValidation type="list" allowBlank="1" showInputMessage="1" showErrorMessage="1" sqref="F15" xr:uid="{3093BE81-CD1A-400E-B994-B1667E3FC966}">
      <formula1>$F$39:$F$41</formula1>
    </dataValidation>
  </dataValidation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CC59-BFB0-4DDB-ABF2-7A0262C95E15}">
  <sheetPr>
    <tabColor theme="1"/>
  </sheetPr>
  <dimension ref="B2:N6"/>
  <sheetViews>
    <sheetView showGridLines="0" rightToLeft="1" tabSelected="1" workbookViewId="0">
      <selection activeCell="K18" sqref="K18"/>
    </sheetView>
  </sheetViews>
  <sheetFormatPr defaultColWidth="8.625" defaultRowHeight="14.25"/>
  <cols>
    <col min="1" max="1" width="8.625" style="1"/>
    <col min="2" max="2" width="11.375" style="1" bestFit="1" customWidth="1"/>
    <col min="3" max="3" width="14.125" style="1" bestFit="1" customWidth="1"/>
    <col min="4" max="4" width="10.875" style="1" bestFit="1" customWidth="1"/>
    <col min="5" max="5" width="9.875" style="1" bestFit="1" customWidth="1"/>
    <col min="6" max="6" width="8.625" style="1" bestFit="1" customWidth="1"/>
    <col min="7" max="16384" width="8.625" style="1"/>
  </cols>
  <sheetData>
    <row r="2" spans="2:14" ht="18">
      <c r="B2" s="116" t="s">
        <v>56</v>
      </c>
      <c r="C2" s="116" t="s">
        <v>64</v>
      </c>
      <c r="D2" s="117" t="s">
        <v>30</v>
      </c>
      <c r="E2" s="117" t="s">
        <v>61</v>
      </c>
      <c r="F2" s="117" t="s">
        <v>62</v>
      </c>
      <c r="H2" s="138" t="s">
        <v>63</v>
      </c>
      <c r="I2" s="138"/>
      <c r="J2" s="138"/>
      <c r="K2" s="138"/>
      <c r="L2" s="138"/>
      <c r="M2" s="138"/>
      <c r="N2" s="138"/>
    </row>
    <row r="3" spans="2:14" ht="18">
      <c r="B3" s="117" t="s">
        <v>57</v>
      </c>
      <c r="C3" s="118">
        <f>'MPS incubment'!L8</f>
        <v>74034800.000000015</v>
      </c>
      <c r="D3" s="114">
        <f>'MPS incubment'!J17</f>
        <v>71944800.000000015</v>
      </c>
      <c r="E3" s="114">
        <f>'MPS incubment'!J18</f>
        <v>2090000</v>
      </c>
      <c r="F3" s="115">
        <f>'MPS incubment'!J19</f>
        <v>23.4</v>
      </c>
      <c r="H3" s="137" t="s">
        <v>65</v>
      </c>
      <c r="I3" s="137"/>
      <c r="J3" s="137"/>
      <c r="K3" s="137"/>
      <c r="L3" s="137"/>
      <c r="M3" s="137"/>
      <c r="N3" s="137"/>
    </row>
    <row r="4" spans="2:14" ht="18">
      <c r="B4" s="117" t="s">
        <v>58</v>
      </c>
      <c r="C4" s="118">
        <f>'MPS minCO'!L8</f>
        <v>73954800.000000015</v>
      </c>
      <c r="D4" s="114">
        <f>'MPS minCO'!J17</f>
        <v>71944800.000000015</v>
      </c>
      <c r="E4" s="114">
        <f>'MPS minCO'!J18</f>
        <v>2010000</v>
      </c>
      <c r="F4" s="115">
        <f>'MPS minCO'!J19</f>
        <v>22.799999999999997</v>
      </c>
      <c r="H4" s="137"/>
      <c r="I4" s="137"/>
      <c r="J4" s="137"/>
      <c r="K4" s="137"/>
      <c r="L4" s="137"/>
      <c r="M4" s="137"/>
      <c r="N4" s="137"/>
    </row>
    <row r="5" spans="2:14" ht="18">
      <c r="B5" s="117" t="s">
        <v>59</v>
      </c>
      <c r="C5" s="118">
        <f>'MPS minPOH'!L8</f>
        <v>45059513.305181257</v>
      </c>
      <c r="D5" s="114">
        <f>'MPS minPOH'!J17</f>
        <v>42969513.305181257</v>
      </c>
      <c r="E5" s="114">
        <f>'MPS minPOH'!J18</f>
        <v>2090000</v>
      </c>
      <c r="F5" s="115">
        <f>'MPS minPOH'!J19</f>
        <v>23.4</v>
      </c>
      <c r="H5" s="137"/>
      <c r="I5" s="137"/>
      <c r="J5" s="137"/>
      <c r="K5" s="137"/>
      <c r="L5" s="137"/>
      <c r="M5" s="137"/>
      <c r="N5" s="137"/>
    </row>
    <row r="6" spans="2:14" ht="18">
      <c r="B6" s="117" t="s">
        <v>60</v>
      </c>
      <c r="C6" s="118">
        <f>'MPS with_Slover'!L8</f>
        <v>29988513.305181257</v>
      </c>
      <c r="D6" s="114">
        <f>'MPS with_Slover'!J17</f>
        <v>27898513.305181257</v>
      </c>
      <c r="E6" s="114">
        <f>'MPS with_Slover'!J18</f>
        <v>2090000</v>
      </c>
      <c r="F6" s="115">
        <f>'MPS with_Slover'!J19</f>
        <v>23.4</v>
      </c>
      <c r="H6" s="137"/>
      <c r="I6" s="137"/>
      <c r="J6" s="137"/>
      <c r="K6" s="137"/>
      <c r="L6" s="137"/>
      <c r="M6" s="137"/>
      <c r="N6" s="137"/>
    </row>
  </sheetData>
  <sheetProtection algorithmName="SHA-512" hashValue="tmBgBSi5M4i6tkXoRhGB7TuM2RiAvzWs/rLWpHKKSVNRdtZjfgdOpieD4bW4H4DEL2tJNE/p3KEek6pbxmSodA==" saltValue="fsKe0DY4+AkZy2i/GjMHyg==" spinCount="100000" sheet="1" objects="1" scenarios="1"/>
  <mergeCells count="2">
    <mergeCell ref="H3:N6"/>
    <mergeCell ref="H2:N2"/>
  </mergeCells>
  <conditionalFormatting sqref="F3:F6">
    <cfRule type="colorScale" priority="5">
      <colorScale>
        <cfvo type="min"/>
        <cfvo type="max"/>
        <color rgb="FF63BE7B"/>
        <color rgb="FFFCFCFF"/>
      </colorScale>
    </cfRule>
  </conditionalFormatting>
  <conditionalFormatting sqref="E3:E6">
    <cfRule type="colorScale" priority="4">
      <colorScale>
        <cfvo type="min"/>
        <cfvo type="max"/>
        <color rgb="FF63BE7B"/>
        <color rgb="FFFCFCFF"/>
      </colorScale>
    </cfRule>
  </conditionalFormatting>
  <conditionalFormatting sqref="D3:D6">
    <cfRule type="colorScale" priority="3">
      <colorScale>
        <cfvo type="min"/>
        <cfvo type="max"/>
        <color rgb="FF63BE7B"/>
        <color rgb="FFFCFCFF"/>
      </colorScale>
    </cfRule>
  </conditionalFormatting>
  <conditionalFormatting sqref="C3:C6">
    <cfRule type="colorScale" priority="1">
      <colorScale>
        <cfvo type="min"/>
        <cfvo type="max"/>
        <color rgb="FF63BE7B"/>
        <color rgb="FFFFEF9C"/>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HOME</vt:lpstr>
      <vt:lpstr>DATA</vt:lpstr>
      <vt:lpstr>DATA 2</vt:lpstr>
      <vt:lpstr>MPS incubment</vt:lpstr>
      <vt:lpstr>MPS minCO</vt:lpstr>
      <vt:lpstr>MPS minPOH</vt:lpstr>
      <vt:lpstr>MPS with_Slover</vt:lpstr>
      <vt:lpstr>Result</vt:lpstr>
      <vt:lpstr>'MPS incubment'!first</vt:lpstr>
      <vt:lpstr>'MPS minCO'!first</vt:lpstr>
      <vt:lpstr>'MPS minPOH'!first</vt:lpstr>
      <vt:lpstr>'MPS with_Slover'!first</vt:lpstr>
      <vt:lpstr>'MPS incubment'!fourth</vt:lpstr>
      <vt:lpstr>'MPS minCO'!fourth</vt:lpstr>
      <vt:lpstr>'MPS minPOH'!fourth</vt:lpstr>
      <vt:lpstr>'MPS with_Slover'!fourth</vt:lpstr>
      <vt:lpstr>'MPS incubment'!second</vt:lpstr>
      <vt:lpstr>'MPS minCO'!second</vt:lpstr>
      <vt:lpstr>'MPS minPOH'!second</vt:lpstr>
      <vt:lpstr>'MPS with_Slover'!second</vt:lpstr>
      <vt:lpstr>'MPS incubment'!third</vt:lpstr>
      <vt:lpstr>'MPS minCO'!third</vt:lpstr>
      <vt:lpstr>'MPS minPOH'!third</vt:lpstr>
      <vt:lpstr>'MPS with_Slover'!third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Jooyafar</dc:creator>
  <cp:lastModifiedBy>Ali Jooyafar</cp:lastModifiedBy>
  <dcterms:created xsi:type="dcterms:W3CDTF">2021-05-18T14:59:29Z</dcterms:created>
  <dcterms:modified xsi:type="dcterms:W3CDTF">2022-06-21T09:45:15Z</dcterms:modified>
</cp:coreProperties>
</file>